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10月" sheetId="1" r:id="rId1"/>
    <sheet name="11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<sst xmlns="http://schemas.openxmlformats.org/spreadsheetml/2006/main" count="434" uniqueCount="66">
  <si>
    <t>ごとう</t>
  </si>
  <si>
    <t>順</t>
  </si>
  <si>
    <t>打</t>
  </si>
  <si>
    <t>合</t>
  </si>
  <si>
    <t>平均得点</t>
  </si>
  <si>
    <t>1位数</t>
  </si>
  <si>
    <t>2位数</t>
  </si>
  <si>
    <t>3位数</t>
  </si>
  <si>
    <t>4位数</t>
  </si>
  <si>
    <t>おりま</t>
  </si>
  <si>
    <t>平均順位</t>
  </si>
  <si>
    <t>はんざわ</t>
  </si>
  <si>
    <t>かみお</t>
  </si>
  <si>
    <t>森</t>
  </si>
  <si>
    <t>村上</t>
  </si>
  <si>
    <t>つるめ</t>
  </si>
  <si>
    <t>新玉</t>
  </si>
  <si>
    <t>うが</t>
  </si>
  <si>
    <t>ちく</t>
  </si>
  <si>
    <t>平田</t>
  </si>
  <si>
    <t>小川</t>
  </si>
  <si>
    <t>菊池</t>
  </si>
  <si>
    <t>武藤</t>
  </si>
  <si>
    <t>ふくなが</t>
  </si>
  <si>
    <t>1位</t>
  </si>
  <si>
    <t>2位</t>
  </si>
  <si>
    <t>3位</t>
  </si>
  <si>
    <t>4位</t>
  </si>
  <si>
    <t>5位</t>
  </si>
  <si>
    <t>平得</t>
  </si>
  <si>
    <t>平得</t>
  </si>
  <si>
    <t>平順</t>
  </si>
  <si>
    <t>平順</t>
  </si>
  <si>
    <t>平順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</si>
  <si>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</si>
  <si>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</si>
  <si>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</si>
  <si>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</si>
  <si>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</si>
  <si>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</si>
  <si>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</si>
  <si>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</si>
  <si>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</si>
  <si>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</si>
  <si>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やり方１</t>
  </si>
  <si>
    <t>やり方２</t>
  </si>
  <si>
    <t>16位</t>
  </si>
  <si>
    <t>17位</t>
  </si>
  <si>
    <t>18位</t>
  </si>
  <si>
    <t>てつや</t>
  </si>
  <si>
    <t>やまもと</t>
  </si>
  <si>
    <t>うが</t>
  </si>
  <si>
    <t>武藤</t>
  </si>
  <si>
    <t>10月のランキング</t>
  </si>
  <si>
    <t>はんざわ</t>
  </si>
  <si>
    <t>むとう</t>
  </si>
  <si>
    <t>みやざき</t>
  </si>
  <si>
    <t>ちく</t>
  </si>
  <si>
    <t>12月のランキング</t>
  </si>
  <si>
    <t>あらたま</t>
  </si>
  <si>
    <t>もり</t>
  </si>
  <si>
    <t>むらかみ</t>
  </si>
  <si>
    <t>ひらた</t>
  </si>
  <si>
    <t>まさしげ</t>
  </si>
  <si>
    <t>きくち</t>
  </si>
  <si>
    <t>まえだ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</si>
</sst>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5">
      <selection activeCell="A1" sqref="A1:N45"/>
    </sheetView>
  </sheetViews>
  <sheetFormatPr defaultColWidth="9.00390625" defaultRowHeight="13.5"/>
  <cols>
    <col min="1" max="1" width="5.25390625" style="0" customWidth="1"/>
    <col min="2" max="2" width="8.25390625" style="0" customWidth="1"/>
    <col min="3" max="3" width="6.125" style="0" customWidth="1"/>
    <col min="4" max="4" width="4.00390625" style="0" customWidth="1"/>
    <col min="6" max="6" width="4.75390625" style="0" customWidth="1"/>
    <col min="7" max="7" width="7.375" style="0" customWidth="1"/>
    <col min="8" max="8" width="5.125" style="0" customWidth="1"/>
    <col min="9" max="9" width="6.625" style="0" customWidth="1"/>
    <col min="10" max="10" width="5.375" style="0" customWidth="1"/>
    <col min="11" max="11" width="7.50390625" style="0" customWidth="1"/>
    <col min="12" max="12" width="5.875" style="0" customWidth="1"/>
    <col min="13" max="13" width="6.125" style="0" customWidth="1"/>
  </cols>
  <sheetData>
    <row r="1" ht="13.5">
      <c r="N1" t="s">
        <v>44</v>
      </c>
    </row>
    <row r="2" spans="1:14" ht="13.5">
      <c r="A2" s="6" t="s">
        <v>53</v>
      </c>
      <c r="E2" s="1" t="s">
        <v>0</v>
      </c>
      <c r="F2" s="1" t="s">
        <v>1</v>
      </c>
      <c r="G2" s="1">
        <v>23</v>
      </c>
      <c r="H2" s="1" t="s">
        <v>31</v>
      </c>
      <c r="I2" s="2">
        <f>G2/G3</f>
        <v>2.875</v>
      </c>
      <c r="J2" s="2" t="s">
        <v>30</v>
      </c>
      <c r="K2" s="2">
        <f>G4/G3</f>
        <v>-13</v>
      </c>
      <c r="L2" s="1" t="s">
        <v>5</v>
      </c>
      <c r="M2" s="1">
        <v>1</v>
      </c>
      <c r="N2" t="str">
        <f>IF(C4&lt;&gt;"",INDEX(E:E,MATCH(C4,I:I,0)),"")</f>
        <v>やまもと</v>
      </c>
    </row>
    <row r="3" spans="1:13" ht="13.5">
      <c r="A3" t="s">
        <v>10</v>
      </c>
      <c r="E3" s="1"/>
      <c r="F3" s="1" t="s">
        <v>2</v>
      </c>
      <c r="G3" s="1">
        <v>8</v>
      </c>
      <c r="H3" s="1"/>
      <c r="I3" s="1"/>
      <c r="J3" s="1"/>
      <c r="K3" s="1"/>
      <c r="L3" s="1" t="s">
        <v>6</v>
      </c>
      <c r="M3" s="1">
        <v>2</v>
      </c>
    </row>
    <row r="4" spans="1:13" ht="13.5">
      <c r="A4" t="s">
        <v>24</v>
      </c>
      <c r="B4" s="3" t="str">
        <f aca="true" t="shared" si="0" ref="B4:B12">IF(C4&lt;&gt;"",INDEX(E$1:E$65536,MATCH(C4,I$1:I$65536,0)),"")</f>
        <v>やまもと</v>
      </c>
      <c r="C4" s="4">
        <f>SMALL(I:I,ROW(A1))</f>
        <v>1.3333333333333333</v>
      </c>
      <c r="D4" s="3" t="str">
        <f>ADDRESS(SUMPRODUCT((SMALL(K2:K75,1)=K2:K75)*ROW(K2:K75)),SUMPRODUCT((LARGE(K2:K75,1)=K2:K75)*COLUMN(K2:K75)),4)</f>
        <v>K7</v>
      </c>
      <c r="E4" s="1"/>
      <c r="F4" s="1" t="s">
        <v>3</v>
      </c>
      <c r="G4" s="1">
        <f>-70-34</f>
        <v>-104</v>
      </c>
      <c r="H4" s="1"/>
      <c r="I4" s="1"/>
      <c r="J4" s="1"/>
      <c r="K4" s="1"/>
      <c r="L4" s="1" t="s">
        <v>7</v>
      </c>
      <c r="M4" s="1">
        <v>2</v>
      </c>
    </row>
    <row r="5" spans="1:13" ht="13.5">
      <c r="A5" t="s">
        <v>25</v>
      </c>
      <c r="B5" s="3" t="str">
        <f t="shared" si="0"/>
        <v>平田</v>
      </c>
      <c r="C5" s="4">
        <f>SMALL(I:I,2)</f>
        <v>1.6666666666666667</v>
      </c>
      <c r="E5" s="1"/>
      <c r="F5" s="1"/>
      <c r="G5" s="1"/>
      <c r="H5" s="1"/>
      <c r="I5" s="1"/>
      <c r="J5" s="1"/>
      <c r="K5" s="1"/>
      <c r="L5" s="1" t="s">
        <v>8</v>
      </c>
      <c r="M5" s="1">
        <v>3</v>
      </c>
    </row>
    <row r="6" spans="1:3" ht="13.5">
      <c r="A6" t="s">
        <v>26</v>
      </c>
      <c r="B6" s="3" t="str">
        <f t="shared" si="0"/>
        <v>小川</v>
      </c>
      <c r="C6" s="4">
        <f>SMALL(I:I,3)</f>
        <v>2</v>
      </c>
    </row>
    <row r="7" spans="1:13" ht="13.5">
      <c r="A7" t="s">
        <v>27</v>
      </c>
      <c r="B7" s="3" t="str">
        <f t="shared" si="0"/>
        <v>村上</v>
      </c>
      <c r="C7" s="4">
        <f>SMALL(I:I,4)</f>
        <v>2.1818181818181817</v>
      </c>
      <c r="E7" s="1" t="s">
        <v>9</v>
      </c>
      <c r="F7" s="1" t="s">
        <v>1</v>
      </c>
      <c r="G7" s="1">
        <f>3+4</f>
        <v>7</v>
      </c>
      <c r="H7" s="1" t="s">
        <v>32</v>
      </c>
      <c r="I7" s="2">
        <f>G7/G8</f>
        <v>3.5</v>
      </c>
      <c r="J7" s="2" t="s">
        <v>30</v>
      </c>
      <c r="K7" s="2">
        <f>G9/G8</f>
        <v>-25.5</v>
      </c>
      <c r="L7" s="1" t="s">
        <v>5</v>
      </c>
      <c r="M7" s="1">
        <v>0</v>
      </c>
    </row>
    <row r="8" spans="1:13" ht="13.5">
      <c r="A8" t="s">
        <v>28</v>
      </c>
      <c r="B8" s="3" t="str">
        <f t="shared" si="0"/>
        <v>森</v>
      </c>
      <c r="C8" s="4">
        <f>SMALL(I:I,5)</f>
        <v>2.3333333333333335</v>
      </c>
      <c r="E8" s="1"/>
      <c r="F8" s="1" t="s">
        <v>2</v>
      </c>
      <c r="G8" s="1">
        <f>1+1</f>
        <v>2</v>
      </c>
      <c r="H8" s="1"/>
      <c r="I8" s="1"/>
      <c r="J8" s="1"/>
      <c r="K8" s="1"/>
      <c r="L8" s="1" t="s">
        <v>6</v>
      </c>
      <c r="M8" s="1">
        <v>0</v>
      </c>
    </row>
    <row r="9" spans="1:14" ht="13.5">
      <c r="A9" t="s">
        <v>34</v>
      </c>
      <c r="B9" s="3" t="str">
        <f t="shared" si="0"/>
        <v>菊池</v>
      </c>
      <c r="C9" s="4">
        <f>SMALL(I:I,6)</f>
        <v>2.4</v>
      </c>
      <c r="E9" s="1"/>
      <c r="F9" s="1" t="s">
        <v>3</v>
      </c>
      <c r="G9" s="1">
        <f>-17-34</f>
        <v>-51</v>
      </c>
      <c r="H9" s="1"/>
      <c r="I9" s="1"/>
      <c r="J9" s="1"/>
      <c r="K9" s="1"/>
      <c r="L9" s="1" t="s">
        <v>7</v>
      </c>
      <c r="M9" s="1">
        <v>1</v>
      </c>
      <c r="N9">
        <f>MATCH(C4,I:I,0)</f>
        <v>82</v>
      </c>
    </row>
    <row r="10" spans="1:13" ht="13.5">
      <c r="A10" t="s">
        <v>35</v>
      </c>
      <c r="B10" s="3" t="str">
        <f t="shared" si="0"/>
        <v>てつや</v>
      </c>
      <c r="C10" s="4">
        <f>SMALL(I:I,7)</f>
        <v>2.5</v>
      </c>
      <c r="E10" s="1"/>
      <c r="F10" s="1"/>
      <c r="G10" s="1"/>
      <c r="H10" s="1"/>
      <c r="I10" s="1"/>
      <c r="J10" s="1"/>
      <c r="K10" s="1"/>
      <c r="L10" s="1" t="s">
        <v>8</v>
      </c>
      <c r="M10" s="1">
        <v>1</v>
      </c>
    </row>
    <row r="11" spans="1:14" ht="13.5">
      <c r="A11" t="s">
        <v>36</v>
      </c>
      <c r="B11" s="3" t="str">
        <f t="shared" si="0"/>
        <v>はんざわ</v>
      </c>
      <c r="C11" s="4">
        <f>SMALL(I:I,8)</f>
        <v>2.611111111111111</v>
      </c>
      <c r="N11">
        <f ca="1">INDIRECT(CELL("address",K2:K75))</f>
        <v>-13</v>
      </c>
    </row>
    <row r="12" spans="1:14" ht="13.5">
      <c r="A12" t="s">
        <v>37</v>
      </c>
      <c r="B12" s="3" t="str">
        <f t="shared" si="0"/>
        <v>新玉</v>
      </c>
      <c r="C12" s="4">
        <f>SMALL(I:I,9)</f>
        <v>2.8</v>
      </c>
      <c r="E12" s="1" t="s">
        <v>11</v>
      </c>
      <c r="F12" s="1" t="s">
        <v>1</v>
      </c>
      <c r="G12" s="1">
        <f>22+11+14</f>
        <v>47</v>
      </c>
      <c r="H12" s="1" t="s">
        <v>32</v>
      </c>
      <c r="I12" s="2">
        <f>G12/G13</f>
        <v>2.611111111111111</v>
      </c>
      <c r="J12" s="2" t="s">
        <v>29</v>
      </c>
      <c r="K12" s="2">
        <f>G14/G13</f>
        <v>-5</v>
      </c>
      <c r="L12" s="1" t="s">
        <v>5</v>
      </c>
      <c r="M12" s="1">
        <v>3</v>
      </c>
      <c r="N12">
        <v>2</v>
      </c>
    </row>
    <row r="13" spans="1:14" ht="13.5">
      <c r="A13" t="s">
        <v>38</v>
      </c>
      <c r="B13" s="3" t="s">
        <v>52</v>
      </c>
      <c r="C13" s="4">
        <f>SMALL(I:I,10)</f>
        <v>2.8</v>
      </c>
      <c r="E13" s="1"/>
      <c r="F13" s="1" t="s">
        <v>2</v>
      </c>
      <c r="G13" s="1">
        <f>8+4+6</f>
        <v>18</v>
      </c>
      <c r="H13" s="1"/>
      <c r="I13" s="2"/>
      <c r="J13" s="2"/>
      <c r="K13" s="2"/>
      <c r="L13" s="1" t="s">
        <v>6</v>
      </c>
      <c r="M13" s="1">
        <v>4</v>
      </c>
      <c r="N13">
        <v>1</v>
      </c>
    </row>
    <row r="14" spans="1:14" ht="13.5">
      <c r="A14" t="s">
        <v>39</v>
      </c>
      <c r="B14" s="3" t="str">
        <f>IF(C14&lt;&gt;"",INDEX(E:E,MATCH(C14,I:I,0)),"")</f>
        <v>つるめ</v>
      </c>
      <c r="C14" s="4">
        <f>SMALL(I:I,11)</f>
        <v>2.8666666666666667</v>
      </c>
      <c r="E14" s="1"/>
      <c r="F14" s="1" t="s">
        <v>3</v>
      </c>
      <c r="G14" s="1">
        <f>-91-58+59</f>
        <v>-90</v>
      </c>
      <c r="H14" s="1"/>
      <c r="I14" s="1"/>
      <c r="J14" s="1"/>
      <c r="K14" s="1"/>
      <c r="L14" s="1" t="s">
        <v>7</v>
      </c>
      <c r="M14" s="1">
        <v>8</v>
      </c>
      <c r="N14">
        <v>2</v>
      </c>
    </row>
    <row r="15" spans="1:14" ht="13.5">
      <c r="A15" t="s">
        <v>40</v>
      </c>
      <c r="B15" s="3" t="str">
        <f>IF(C15&lt;&gt;"",INDEX(E:E,MATCH(C15,I:I,0)),"")</f>
        <v>ごとう</v>
      </c>
      <c r="C15" s="4">
        <f>SMALL(I:I,12)</f>
        <v>2.875</v>
      </c>
      <c r="E15" s="1"/>
      <c r="F15" s="1"/>
      <c r="G15" s="1"/>
      <c r="H15" s="1"/>
      <c r="I15" s="1"/>
      <c r="J15" s="1"/>
      <c r="K15" s="1"/>
      <c r="L15" s="1" t="s">
        <v>8</v>
      </c>
      <c r="M15" s="1">
        <v>3</v>
      </c>
      <c r="N15">
        <v>1</v>
      </c>
    </row>
    <row r="16" spans="1:3" ht="13.5">
      <c r="A16" t="s">
        <v>41</v>
      </c>
      <c r="B16" s="3" t="str">
        <f>IF(C16&lt;&gt;"",INDEX(E:E,MATCH(C16,I:I,0)),"")</f>
        <v>ちく</v>
      </c>
      <c r="C16" s="4">
        <f>SMALL(I:I,13)</f>
        <v>3</v>
      </c>
    </row>
    <row r="17" spans="1:13" ht="13.5">
      <c r="A17" t="s">
        <v>42</v>
      </c>
      <c r="B17" s="3" t="s">
        <v>23</v>
      </c>
      <c r="C17" s="4">
        <f>SMALL(I:I,14)</f>
        <v>3</v>
      </c>
      <c r="E17" s="1" t="s">
        <v>12</v>
      </c>
      <c r="F17" s="1" t="s">
        <v>1</v>
      </c>
      <c r="G17" s="1">
        <v>19</v>
      </c>
      <c r="H17" s="1" t="s">
        <v>32</v>
      </c>
      <c r="I17" s="2">
        <f>G17/G18</f>
        <v>3.1666666666666665</v>
      </c>
      <c r="J17" s="2" t="s">
        <v>29</v>
      </c>
      <c r="K17" s="2">
        <f>G19/G18</f>
        <v>-10.5</v>
      </c>
      <c r="L17" s="1" t="s">
        <v>5</v>
      </c>
      <c r="M17" s="1">
        <v>1</v>
      </c>
    </row>
    <row r="18" spans="1:13" ht="13.5">
      <c r="A18" t="s">
        <v>43</v>
      </c>
      <c r="B18" s="3" t="str">
        <f>IF(C18&lt;&gt;"",INDEX(E:E,MATCH(C18,I:I,0)),"")</f>
        <v>かみお</v>
      </c>
      <c r="C18" s="4">
        <f>SMALL(I:I,15)</f>
        <v>3.1666666666666665</v>
      </c>
      <c r="E18" s="1"/>
      <c r="F18" s="1" t="s">
        <v>2</v>
      </c>
      <c r="G18" s="1">
        <v>6</v>
      </c>
      <c r="H18" s="1"/>
      <c r="I18" s="2"/>
      <c r="J18" s="2"/>
      <c r="K18" s="2"/>
      <c r="L18" s="1" t="s">
        <v>6</v>
      </c>
      <c r="M18" s="1">
        <v>0</v>
      </c>
    </row>
    <row r="19" spans="1:13" ht="13.5">
      <c r="A19" t="s">
        <v>46</v>
      </c>
      <c r="B19" s="3" t="s">
        <v>51</v>
      </c>
      <c r="C19" s="4">
        <f>SMALL(I:I,16)</f>
        <v>3.1666666666666665</v>
      </c>
      <c r="E19" s="1"/>
      <c r="F19" s="1" t="s">
        <v>3</v>
      </c>
      <c r="G19" s="1">
        <v>-63</v>
      </c>
      <c r="H19" s="1"/>
      <c r="I19" s="1"/>
      <c r="J19" s="1"/>
      <c r="K19" s="1"/>
      <c r="L19" s="1" t="s">
        <v>7</v>
      </c>
      <c r="M19" s="1">
        <v>2</v>
      </c>
    </row>
    <row r="20" spans="1:13" ht="13.5">
      <c r="A20" t="s">
        <v>47</v>
      </c>
      <c r="B20" s="3" t="str">
        <f>IF(C20&lt;&gt;"",INDEX(E:E,MATCH(C20,I:I,0)),"")</f>
        <v>おりま</v>
      </c>
      <c r="C20" s="4">
        <f>SMALL(I:I,17)</f>
        <v>3.5</v>
      </c>
      <c r="E20" s="1"/>
      <c r="F20" s="1"/>
      <c r="G20" s="1"/>
      <c r="H20" s="1"/>
      <c r="I20" s="1"/>
      <c r="J20" s="1"/>
      <c r="K20" s="1"/>
      <c r="L20" s="1" t="s">
        <v>8</v>
      </c>
      <c r="M20" s="1">
        <v>3</v>
      </c>
    </row>
    <row r="21" ht="13.5">
      <c r="N21" t="s">
        <v>45</v>
      </c>
    </row>
    <row r="22" spans="3:14" ht="13.5">
      <c r="C22" s="3"/>
      <c r="E22" s="1" t="s">
        <v>13</v>
      </c>
      <c r="F22" s="1" t="s">
        <v>1</v>
      </c>
      <c r="G22" s="1">
        <f>17+11</f>
        <v>28</v>
      </c>
      <c r="H22" s="1" t="s">
        <v>32</v>
      </c>
      <c r="I22" s="2">
        <f>G22/G23</f>
        <v>2.3333333333333335</v>
      </c>
      <c r="J22" s="2" t="s">
        <v>29</v>
      </c>
      <c r="K22" s="2">
        <f>G24/G23</f>
        <v>5.583333333333333</v>
      </c>
      <c r="L22" s="1" t="s">
        <v>5</v>
      </c>
      <c r="M22" s="1">
        <v>4</v>
      </c>
      <c r="N22" t="str">
        <f ca="1">OFFSET(INDIRECT(CELL("address",K:K)),MATCH(C24,K:K,0)-1,-6)</f>
        <v>やまもと</v>
      </c>
    </row>
    <row r="23" spans="1:13" ht="13.5">
      <c r="A23" t="s">
        <v>4</v>
      </c>
      <c r="E23" s="1"/>
      <c r="F23" s="1" t="s">
        <v>2</v>
      </c>
      <c r="G23" s="1">
        <f>8+4</f>
        <v>12</v>
      </c>
      <c r="H23" s="1"/>
      <c r="I23" s="2"/>
      <c r="J23" s="2"/>
      <c r="K23" s="2"/>
      <c r="L23" s="1" t="s">
        <v>6</v>
      </c>
      <c r="M23" s="1">
        <v>3</v>
      </c>
    </row>
    <row r="24" spans="1:13" ht="13.5">
      <c r="A24" t="s">
        <v>24</v>
      </c>
      <c r="B24" t="str">
        <f aca="true" t="shared" si="1" ref="B24:B40">IF(C24&lt;&gt;"",INDEX(E$1:E$65536,MATCH(C24,K$1:K$65536,0)),"")</f>
        <v>やまもと</v>
      </c>
      <c r="C24" s="3">
        <f>LARGE(K:K,1)</f>
        <v>34</v>
      </c>
      <c r="D24" t="str">
        <f>ADDRESS(SUMPRODUCT((LARGE(K4:K77,1)=K4:K77)*ROW(K4:K77)),SUMPRODUCT((LARGE(K4:K77,1)=K4:K77)*COLUMN(K4:K77)),4)</f>
        <v>K52</v>
      </c>
      <c r="E24" s="1"/>
      <c r="F24" s="1" t="s">
        <v>3</v>
      </c>
      <c r="G24" s="1">
        <f>135-45-23</f>
        <v>67</v>
      </c>
      <c r="H24" s="1"/>
      <c r="I24" s="1"/>
      <c r="J24" s="1"/>
      <c r="K24" s="1"/>
      <c r="L24" s="1" t="s">
        <v>7</v>
      </c>
      <c r="M24" s="1">
        <v>2</v>
      </c>
    </row>
    <row r="25" spans="1:13" ht="13.5">
      <c r="A25" t="s">
        <v>25</v>
      </c>
      <c r="B25" t="str">
        <f t="shared" si="1"/>
        <v>平田</v>
      </c>
      <c r="C25" s="3">
        <f>LARGE(K:K,2)</f>
        <v>27.066666666666666</v>
      </c>
      <c r="D25" t="str">
        <f>ADDRESS(SUMPRODUCT((LARGE(K4:K77,2)=K4:K77)*ROW(K4:K77)),SUMPRODUCT((LARGE(K4:K77,2)=K4:K77)*COLUMN(K4:K77)),4)</f>
        <v>K57</v>
      </c>
      <c r="E25" s="1"/>
      <c r="F25" s="1"/>
      <c r="G25" s="1"/>
      <c r="H25" s="1"/>
      <c r="I25" s="1"/>
      <c r="J25" s="1"/>
      <c r="K25" s="1"/>
      <c r="L25" s="1" t="s">
        <v>8</v>
      </c>
      <c r="M25" s="1">
        <v>3</v>
      </c>
    </row>
    <row r="26" spans="1:4" ht="13.5">
      <c r="A26" t="s">
        <v>26</v>
      </c>
      <c r="B26" t="str">
        <f t="shared" si="1"/>
        <v>小川</v>
      </c>
      <c r="C26" s="3">
        <f>LARGE(K:K,3)</f>
        <v>17.22222222222222</v>
      </c>
      <c r="D26" t="str">
        <f>ADDRESS(SUMPRODUCT((LARGE(K4:K77,3)=K4:K77)*ROW(K4:K77)),SUMPRODUCT((LARGE(K4:K77,3)=K4:K77)*COLUMN(K4:K77)),4)</f>
        <v>K27</v>
      </c>
    </row>
    <row r="27" spans="1:13" ht="13.5">
      <c r="A27" t="s">
        <v>27</v>
      </c>
      <c r="B27" t="str">
        <f t="shared" si="1"/>
        <v>村上</v>
      </c>
      <c r="C27" s="3">
        <f>LARGE(K:K,4)</f>
        <v>11.454545454545455</v>
      </c>
      <c r="D27" t="str">
        <f>ADDRESS(SUMPRODUCT((LARGE(K4:K77,4)=K4:K77)*ROW(K4:K77)),SUMPRODUCT((LARGE(K4:K77,4)=K4:K77)*COLUMN(K4:K77)),4)</f>
        <v>K22</v>
      </c>
      <c r="E27" s="1" t="s">
        <v>14</v>
      </c>
      <c r="F27" s="1" t="s">
        <v>1</v>
      </c>
      <c r="G27" s="1">
        <f>17+2+5</f>
        <v>24</v>
      </c>
      <c r="H27" s="1" t="s">
        <v>32</v>
      </c>
      <c r="I27" s="2">
        <f>G27/G28</f>
        <v>2.1818181818181817</v>
      </c>
      <c r="J27" s="2" t="s">
        <v>29</v>
      </c>
      <c r="K27" s="2">
        <f>G29/G28</f>
        <v>11.454545454545455</v>
      </c>
      <c r="L27" s="1" t="s">
        <v>5</v>
      </c>
      <c r="M27" s="1">
        <v>5</v>
      </c>
    </row>
    <row r="28" spans="1:13" ht="13.5">
      <c r="A28" t="s">
        <v>28</v>
      </c>
      <c r="B28" t="str">
        <f t="shared" si="1"/>
        <v>森</v>
      </c>
      <c r="C28" s="3">
        <f>LARGE(K:K,5)</f>
        <v>5.583333333333333</v>
      </c>
      <c r="D28" t="str">
        <f>ADDRESS(SUMPRODUCT((LARGE(K4:K77,5)=K4:K77)*ROW(K4:K77)),SUMPRODUCT((LARGE(K4:K77,5)=K4:K77)*COLUMN(K4:K77)),4)</f>
        <v>K62</v>
      </c>
      <c r="E28" s="1"/>
      <c r="F28" s="1" t="s">
        <v>2</v>
      </c>
      <c r="G28" s="1">
        <f>7+2+2</f>
        <v>11</v>
      </c>
      <c r="H28" s="1"/>
      <c r="I28" s="2"/>
      <c r="J28" s="2"/>
      <c r="K28" s="2"/>
      <c r="L28" s="1" t="s">
        <v>6</v>
      </c>
      <c r="M28" s="1">
        <v>2</v>
      </c>
    </row>
    <row r="29" spans="1:13" ht="13.5">
      <c r="A29" t="s">
        <v>34</v>
      </c>
      <c r="B29" t="str">
        <f t="shared" si="1"/>
        <v>菊池</v>
      </c>
      <c r="C29" s="3">
        <f>LARGE(K:K,6)</f>
        <v>4.2</v>
      </c>
      <c r="E29" s="1"/>
      <c r="F29" s="1" t="s">
        <v>3</v>
      </c>
      <c r="G29" s="1">
        <f>20+97+9</f>
        <v>126</v>
      </c>
      <c r="H29" s="1"/>
      <c r="I29" s="1"/>
      <c r="J29" s="1"/>
      <c r="K29" s="1"/>
      <c r="L29" s="1" t="s">
        <v>7</v>
      </c>
      <c r="M29" s="1">
        <v>1</v>
      </c>
    </row>
    <row r="30" spans="1:13" ht="13.5">
      <c r="A30" t="s">
        <v>35</v>
      </c>
      <c r="B30" t="str">
        <f t="shared" si="1"/>
        <v>てつや</v>
      </c>
      <c r="C30" s="5">
        <f>LARGE(K:K,7)</f>
        <v>-0.5</v>
      </c>
      <c r="E30" s="1"/>
      <c r="F30" s="1"/>
      <c r="G30" s="1"/>
      <c r="H30" s="1"/>
      <c r="I30" s="1"/>
      <c r="J30" s="1"/>
      <c r="K30" s="1"/>
      <c r="L30" s="1" t="s">
        <v>8</v>
      </c>
      <c r="M30" s="1">
        <v>3</v>
      </c>
    </row>
    <row r="31" spans="1:3" ht="13.5">
      <c r="A31" t="s">
        <v>36</v>
      </c>
      <c r="B31" t="str">
        <f t="shared" si="1"/>
        <v>はんざわ</v>
      </c>
      <c r="C31" s="5">
        <f>LARGE(K:K,8)</f>
        <v>-5</v>
      </c>
    </row>
    <row r="32" spans="1:13" ht="13.5">
      <c r="A32" t="s">
        <v>37</v>
      </c>
      <c r="B32" t="str">
        <f t="shared" si="1"/>
        <v>かみお</v>
      </c>
      <c r="C32" s="5">
        <f>LARGE(K:K,9)</f>
        <v>-10.5</v>
      </c>
      <c r="E32" s="1" t="s">
        <v>15</v>
      </c>
      <c r="F32" s="1" t="s">
        <v>1</v>
      </c>
      <c r="G32" s="1">
        <f>29+14</f>
        <v>43</v>
      </c>
      <c r="H32" s="1" t="s">
        <v>32</v>
      </c>
      <c r="I32" s="2">
        <f>G32/G33</f>
        <v>2.8666666666666667</v>
      </c>
      <c r="J32" s="2" t="s">
        <v>29</v>
      </c>
      <c r="K32" s="2">
        <f>G34/G33</f>
        <v>-12.466666666666667</v>
      </c>
      <c r="L32" s="1" t="s">
        <v>5</v>
      </c>
      <c r="M32" s="1">
        <v>1</v>
      </c>
    </row>
    <row r="33" spans="1:13" ht="13.5">
      <c r="A33" t="s">
        <v>38</v>
      </c>
      <c r="B33" t="str">
        <f t="shared" si="1"/>
        <v>ちく</v>
      </c>
      <c r="C33" s="5">
        <f>LARGE(K:K,10)</f>
        <v>-11</v>
      </c>
      <c r="E33" s="1"/>
      <c r="F33" s="1" t="s">
        <v>2</v>
      </c>
      <c r="G33" s="1">
        <f>11+4</f>
        <v>15</v>
      </c>
      <c r="H33" s="1"/>
      <c r="I33" s="2"/>
      <c r="J33" s="2"/>
      <c r="K33" s="2"/>
      <c r="L33" s="1" t="s">
        <v>6</v>
      </c>
      <c r="M33" s="1">
        <v>5</v>
      </c>
    </row>
    <row r="34" spans="1:13" ht="13.5">
      <c r="A34" t="s">
        <v>39</v>
      </c>
      <c r="B34" t="str">
        <f t="shared" si="1"/>
        <v>つるめ</v>
      </c>
      <c r="C34" s="5">
        <f>LARGE(K:K,11)</f>
        <v>-12.466666666666667</v>
      </c>
      <c r="E34" s="1"/>
      <c r="F34" s="1" t="s">
        <v>3</v>
      </c>
      <c r="G34" s="1">
        <f>-71-13-103</f>
        <v>-187</v>
      </c>
      <c r="H34" s="1"/>
      <c r="I34" s="1"/>
      <c r="J34" s="1"/>
      <c r="K34" s="1"/>
      <c r="L34" s="1" t="s">
        <v>7</v>
      </c>
      <c r="M34" s="1">
        <v>4</v>
      </c>
    </row>
    <row r="35" spans="1:13" ht="13.5">
      <c r="A35" t="s">
        <v>40</v>
      </c>
      <c r="B35" t="str">
        <f t="shared" si="1"/>
        <v>ごとう</v>
      </c>
      <c r="C35" s="5">
        <f>LARGE(K:K,12)</f>
        <v>-13</v>
      </c>
      <c r="E35" s="1"/>
      <c r="F35" s="1"/>
      <c r="G35" s="1"/>
      <c r="H35" s="1"/>
      <c r="I35" s="1"/>
      <c r="J35" s="1"/>
      <c r="K35" s="1"/>
      <c r="L35" s="1" t="s">
        <v>8</v>
      </c>
      <c r="M35" s="1">
        <v>5</v>
      </c>
    </row>
    <row r="36" spans="1:3" ht="13.5">
      <c r="A36" t="s">
        <v>41</v>
      </c>
      <c r="B36" t="str">
        <f t="shared" si="1"/>
        <v>武藤</v>
      </c>
      <c r="C36" s="5">
        <f>LARGE(K:K,13)</f>
        <v>-13.6</v>
      </c>
    </row>
    <row r="37" spans="1:13" ht="13.5">
      <c r="A37" t="s">
        <v>42</v>
      </c>
      <c r="B37" t="str">
        <f t="shared" si="1"/>
        <v>新玉</v>
      </c>
      <c r="C37" s="5">
        <f>LARGE(K:K,14)</f>
        <v>-14</v>
      </c>
      <c r="E37" s="1" t="s">
        <v>16</v>
      </c>
      <c r="F37" s="1" t="s">
        <v>1</v>
      </c>
      <c r="G37" s="1">
        <f>5+9</f>
        <v>14</v>
      </c>
      <c r="H37" s="1" t="s">
        <v>32</v>
      </c>
      <c r="I37" s="2">
        <f>G37/G38</f>
        <v>2.8</v>
      </c>
      <c r="J37" s="2" t="s">
        <v>29</v>
      </c>
      <c r="K37" s="2">
        <f>G39/G38</f>
        <v>-14</v>
      </c>
      <c r="L37" s="1" t="s">
        <v>5</v>
      </c>
      <c r="M37" s="1">
        <v>1</v>
      </c>
    </row>
    <row r="38" spans="1:13" ht="13.5">
      <c r="A38" t="s">
        <v>43</v>
      </c>
      <c r="B38" t="str">
        <f t="shared" si="1"/>
        <v>ふくなが</v>
      </c>
      <c r="C38" s="5">
        <f>LARGE(K:K,15)</f>
        <v>-18.2</v>
      </c>
      <c r="E38" s="1"/>
      <c r="F38" s="1" t="s">
        <v>2</v>
      </c>
      <c r="G38" s="1">
        <f>2+3</f>
        <v>5</v>
      </c>
      <c r="H38" s="1"/>
      <c r="I38" s="2"/>
      <c r="J38" s="2"/>
      <c r="K38" s="2"/>
      <c r="L38" s="1" t="s">
        <v>6</v>
      </c>
      <c r="M38" s="1">
        <v>1</v>
      </c>
    </row>
    <row r="39" spans="1:13" ht="13.5">
      <c r="A39" t="s">
        <v>46</v>
      </c>
      <c r="B39" t="str">
        <f t="shared" si="1"/>
        <v>うが</v>
      </c>
      <c r="C39" s="5">
        <f>LARGE(K:K,16)</f>
        <v>-24.166666666666668</v>
      </c>
      <c r="E39" s="1"/>
      <c r="F39" s="1" t="s">
        <v>3</v>
      </c>
      <c r="G39" s="1">
        <f>-12-58</f>
        <v>-70</v>
      </c>
      <c r="H39" s="1"/>
      <c r="I39" s="1"/>
      <c r="J39" s="1"/>
      <c r="K39" s="1"/>
      <c r="L39" s="1" t="s">
        <v>7</v>
      </c>
      <c r="M39" s="1">
        <v>1</v>
      </c>
    </row>
    <row r="40" spans="1:13" ht="13.5">
      <c r="A40" t="s">
        <v>47</v>
      </c>
      <c r="B40" t="str">
        <f t="shared" si="1"/>
        <v>おりま</v>
      </c>
      <c r="C40" s="5">
        <f>LARGE(K:K,17)</f>
        <v>-25.5</v>
      </c>
      <c r="E40" s="1"/>
      <c r="F40" s="1"/>
      <c r="G40" s="1"/>
      <c r="H40" s="1"/>
      <c r="I40" s="1"/>
      <c r="J40" s="1"/>
      <c r="K40" s="1"/>
      <c r="L40" s="1" t="s">
        <v>8</v>
      </c>
      <c r="M40" s="1">
        <v>2</v>
      </c>
    </row>
    <row r="41" ht="13.5">
      <c r="A41" t="s">
        <v>48</v>
      </c>
    </row>
    <row r="42" spans="5:13" ht="13.5">
      <c r="E42" s="1" t="s">
        <v>17</v>
      </c>
      <c r="F42" s="1" t="s">
        <v>1</v>
      </c>
      <c r="G42" s="1">
        <f>11+8</f>
        <v>19</v>
      </c>
      <c r="H42" s="1" t="s">
        <v>32</v>
      </c>
      <c r="I42" s="2">
        <f>G42/G43</f>
        <v>3.1666666666666665</v>
      </c>
      <c r="J42" s="2" t="s">
        <v>29</v>
      </c>
      <c r="K42" s="2">
        <f>G44/G43</f>
        <v>-24.166666666666668</v>
      </c>
      <c r="L42" s="1" t="s">
        <v>5</v>
      </c>
      <c r="M42" s="1">
        <v>0</v>
      </c>
    </row>
    <row r="43" spans="5:13" ht="13.5">
      <c r="E43" s="1"/>
      <c r="F43" s="1" t="s">
        <v>2</v>
      </c>
      <c r="G43" s="1">
        <f>3+3</f>
        <v>6</v>
      </c>
      <c r="H43" s="1"/>
      <c r="I43" s="2"/>
      <c r="J43" s="2"/>
      <c r="K43" s="2"/>
      <c r="L43" s="1" t="s">
        <v>6</v>
      </c>
      <c r="M43" s="1">
        <v>2</v>
      </c>
    </row>
    <row r="44" spans="5:13" ht="13.5">
      <c r="E44" s="1"/>
      <c r="F44" s="1" t="s">
        <v>3</v>
      </c>
      <c r="G44" s="1">
        <f>-110-35</f>
        <v>-145</v>
      </c>
      <c r="H44" s="1"/>
      <c r="I44" s="1"/>
      <c r="J44" s="1"/>
      <c r="K44" s="1"/>
      <c r="L44" s="1" t="s">
        <v>7</v>
      </c>
      <c r="M44" s="1">
        <v>1</v>
      </c>
    </row>
    <row r="45" spans="5:13" ht="13.5">
      <c r="E45" s="1"/>
      <c r="F45" s="1"/>
      <c r="G45" s="1"/>
      <c r="H45" s="1"/>
      <c r="I45" s="1"/>
      <c r="J45" s="1"/>
      <c r="K45" s="1"/>
      <c r="L45" s="1" t="s">
        <v>8</v>
      </c>
      <c r="M45" s="1">
        <v>3</v>
      </c>
    </row>
    <row r="47" spans="5:13" ht="13.5">
      <c r="E47" s="1" t="s">
        <v>18</v>
      </c>
      <c r="F47" s="1" t="s">
        <v>1</v>
      </c>
      <c r="G47" s="1">
        <f>4+2</f>
        <v>6</v>
      </c>
      <c r="H47" s="1" t="s">
        <v>32</v>
      </c>
      <c r="I47" s="2">
        <f>G47/G48</f>
        <v>3</v>
      </c>
      <c r="J47" s="2" t="s">
        <v>29</v>
      </c>
      <c r="K47" s="2">
        <f>G49/G48</f>
        <v>-11</v>
      </c>
      <c r="L47" s="1" t="s">
        <v>5</v>
      </c>
      <c r="M47" s="1">
        <v>0</v>
      </c>
    </row>
    <row r="48" spans="5:13" ht="13.5">
      <c r="E48" s="1"/>
      <c r="F48" s="1" t="s">
        <v>2</v>
      </c>
      <c r="G48" s="1">
        <f>1+1</f>
        <v>2</v>
      </c>
      <c r="H48" s="1"/>
      <c r="I48" s="2"/>
      <c r="J48" s="2"/>
      <c r="K48" s="2"/>
      <c r="L48" s="1" t="s">
        <v>6</v>
      </c>
      <c r="M48" s="1">
        <v>1</v>
      </c>
    </row>
    <row r="49" spans="5:13" ht="13.5">
      <c r="E49" s="1"/>
      <c r="F49" s="1" t="s">
        <v>3</v>
      </c>
      <c r="G49" s="1">
        <f>-29+7</f>
        <v>-22</v>
      </c>
      <c r="H49" s="1"/>
      <c r="I49" s="1"/>
      <c r="J49" s="1"/>
      <c r="K49" s="1"/>
      <c r="L49" s="1" t="s">
        <v>7</v>
      </c>
      <c r="M49" s="1">
        <v>0</v>
      </c>
    </row>
    <row r="50" spans="5:13" ht="13.5">
      <c r="E50" s="1"/>
      <c r="F50" s="1"/>
      <c r="G50" s="1"/>
      <c r="H50" s="1"/>
      <c r="I50" s="1"/>
      <c r="J50" s="1"/>
      <c r="K50" s="1"/>
      <c r="L50" s="1" t="s">
        <v>8</v>
      </c>
      <c r="M50" s="1">
        <v>1</v>
      </c>
    </row>
    <row r="52" spans="5:13" ht="13.5">
      <c r="E52" s="1" t="s">
        <v>19</v>
      </c>
      <c r="F52" s="1" t="s">
        <v>1</v>
      </c>
      <c r="G52" s="1">
        <f>13+4+8</f>
        <v>25</v>
      </c>
      <c r="H52" s="1" t="s">
        <v>33</v>
      </c>
      <c r="I52" s="2">
        <f>G52/G53</f>
        <v>1.6666666666666667</v>
      </c>
      <c r="J52" s="2" t="s">
        <v>29</v>
      </c>
      <c r="K52" s="2">
        <f>G54/G53</f>
        <v>27.066666666666666</v>
      </c>
      <c r="L52" s="1" t="s">
        <v>5</v>
      </c>
      <c r="M52" s="1">
        <v>8</v>
      </c>
    </row>
    <row r="53" spans="5:13" ht="13.5">
      <c r="E53" s="1"/>
      <c r="F53" s="1" t="s">
        <v>2</v>
      </c>
      <c r="G53" s="1">
        <f>8+2+5</f>
        <v>15</v>
      </c>
      <c r="H53" s="1"/>
      <c r="I53" s="2"/>
      <c r="J53" s="2"/>
      <c r="K53" s="2"/>
      <c r="L53" s="1" t="s">
        <v>6</v>
      </c>
      <c r="M53" s="1">
        <v>5</v>
      </c>
    </row>
    <row r="54" spans="5:13" ht="13.5">
      <c r="E54" s="1"/>
      <c r="F54" s="1" t="s">
        <v>3</v>
      </c>
      <c r="G54" s="1">
        <f>246+25+135</f>
        <v>406</v>
      </c>
      <c r="H54" s="1"/>
      <c r="I54" s="1"/>
      <c r="J54" s="1"/>
      <c r="K54" s="1"/>
      <c r="L54" s="1" t="s">
        <v>7</v>
      </c>
      <c r="M54" s="1">
        <v>1</v>
      </c>
    </row>
    <row r="55" spans="5:13" ht="13.5">
      <c r="E55" s="1"/>
      <c r="F55" s="1"/>
      <c r="G55" s="1"/>
      <c r="H55" s="1"/>
      <c r="I55" s="1"/>
      <c r="J55" s="1"/>
      <c r="K55" s="1"/>
      <c r="L55" s="1" t="s">
        <v>8</v>
      </c>
      <c r="M55" s="1">
        <v>1</v>
      </c>
    </row>
    <row r="57" spans="5:13" ht="13.5">
      <c r="E57" s="1" t="s">
        <v>20</v>
      </c>
      <c r="F57" s="1" t="s">
        <v>1</v>
      </c>
      <c r="G57" s="1">
        <f>10+8</f>
        <v>18</v>
      </c>
      <c r="H57" s="1" t="s">
        <v>33</v>
      </c>
      <c r="I57" s="2">
        <f>G57/G58</f>
        <v>2</v>
      </c>
      <c r="J57" s="2" t="s">
        <v>29</v>
      </c>
      <c r="K57" s="2">
        <f>G59/G58</f>
        <v>17.22222222222222</v>
      </c>
      <c r="L57" s="1" t="s">
        <v>5</v>
      </c>
      <c r="M57" s="1">
        <v>5</v>
      </c>
    </row>
    <row r="58" spans="5:13" ht="13.5">
      <c r="E58" s="1"/>
      <c r="F58" s="1" t="s">
        <v>2</v>
      </c>
      <c r="G58" s="1">
        <f>6+3</f>
        <v>9</v>
      </c>
      <c r="H58" s="1"/>
      <c r="I58" s="2"/>
      <c r="J58" s="2"/>
      <c r="K58" s="2"/>
      <c r="L58" s="1" t="s">
        <v>6</v>
      </c>
      <c r="M58" s="1">
        <v>1</v>
      </c>
    </row>
    <row r="59" spans="5:13" ht="13.5">
      <c r="E59" s="1"/>
      <c r="F59" s="1" t="s">
        <v>3</v>
      </c>
      <c r="G59" s="1">
        <f>167-12</f>
        <v>155</v>
      </c>
      <c r="H59" s="1"/>
      <c r="I59" s="1"/>
      <c r="J59" s="1"/>
      <c r="K59" s="1"/>
      <c r="L59" s="1" t="s">
        <v>7</v>
      </c>
      <c r="M59" s="1">
        <v>1</v>
      </c>
    </row>
    <row r="60" spans="5:13" ht="13.5">
      <c r="E60" s="1"/>
      <c r="F60" s="1"/>
      <c r="G60" s="1"/>
      <c r="H60" s="1"/>
      <c r="I60" s="1"/>
      <c r="J60" s="1"/>
      <c r="K60" s="1"/>
      <c r="L60" s="1" t="s">
        <v>8</v>
      </c>
      <c r="M60" s="1">
        <v>2</v>
      </c>
    </row>
    <row r="62" spans="5:13" ht="13.5">
      <c r="E62" s="1" t="s">
        <v>21</v>
      </c>
      <c r="F62" s="1" t="s">
        <v>1</v>
      </c>
      <c r="G62" s="1">
        <f>12+3+9</f>
        <v>24</v>
      </c>
      <c r="H62" s="1" t="s">
        <v>33</v>
      </c>
      <c r="I62" s="2">
        <f>G62/G63</f>
        <v>2.4</v>
      </c>
      <c r="J62" s="2" t="s">
        <v>29</v>
      </c>
      <c r="K62" s="2">
        <f>G64/G63</f>
        <v>4.2</v>
      </c>
      <c r="L62" s="1" t="s">
        <v>5</v>
      </c>
      <c r="M62" s="1">
        <v>2</v>
      </c>
    </row>
    <row r="63" spans="5:13" ht="13.5">
      <c r="E63" s="1"/>
      <c r="F63" s="1" t="s">
        <v>2</v>
      </c>
      <c r="G63" s="1">
        <f>5+2+3</f>
        <v>10</v>
      </c>
      <c r="H63" s="1"/>
      <c r="I63" s="2"/>
      <c r="J63" s="2"/>
      <c r="K63" s="2"/>
      <c r="L63" s="1" t="s">
        <v>6</v>
      </c>
      <c r="M63" s="1">
        <v>4</v>
      </c>
    </row>
    <row r="64" spans="5:13" ht="13.5">
      <c r="E64" s="1"/>
      <c r="F64" s="1" t="s">
        <v>3</v>
      </c>
      <c r="G64" s="1">
        <f>24+62-44</f>
        <v>42</v>
      </c>
      <c r="H64" s="1"/>
      <c r="I64" s="1"/>
      <c r="J64" s="1"/>
      <c r="K64" s="1"/>
      <c r="L64" s="1" t="s">
        <v>7</v>
      </c>
      <c r="M64" s="1">
        <v>2</v>
      </c>
    </row>
    <row r="65" spans="5:13" ht="13.5">
      <c r="E65" s="1"/>
      <c r="F65" s="1"/>
      <c r="G65" s="1"/>
      <c r="H65" s="1"/>
      <c r="I65" s="1"/>
      <c r="J65" s="1"/>
      <c r="K65" s="1"/>
      <c r="L65" s="1" t="s">
        <v>8</v>
      </c>
      <c r="M65" s="1">
        <v>2</v>
      </c>
    </row>
    <row r="67" spans="5:13" ht="13.5">
      <c r="E67" s="1" t="s">
        <v>22</v>
      </c>
      <c r="F67" s="1" t="s">
        <v>1</v>
      </c>
      <c r="G67" s="1">
        <v>14</v>
      </c>
      <c r="H67" s="1" t="s">
        <v>33</v>
      </c>
      <c r="I67" s="2">
        <f>G67/G68</f>
        <v>2.8</v>
      </c>
      <c r="J67" s="2" t="s">
        <v>29</v>
      </c>
      <c r="K67" s="2">
        <f>G69/G68</f>
        <v>-13.6</v>
      </c>
      <c r="L67" s="1" t="s">
        <v>5</v>
      </c>
      <c r="M67" s="1">
        <v>0</v>
      </c>
    </row>
    <row r="68" spans="5:13" ht="13.5">
      <c r="E68" s="1"/>
      <c r="F68" s="1" t="s">
        <v>2</v>
      </c>
      <c r="G68" s="1">
        <v>5</v>
      </c>
      <c r="H68" s="1"/>
      <c r="I68" s="2"/>
      <c r="J68" s="2"/>
      <c r="K68" s="2"/>
      <c r="L68" s="1" t="s">
        <v>6</v>
      </c>
      <c r="M68" s="1">
        <v>2</v>
      </c>
    </row>
    <row r="69" spans="5:13" ht="13.5">
      <c r="E69" s="1"/>
      <c r="F69" s="1" t="s">
        <v>3</v>
      </c>
      <c r="G69" s="1">
        <v>-68</v>
      </c>
      <c r="H69" s="1"/>
      <c r="I69" s="1"/>
      <c r="J69" s="1"/>
      <c r="K69" s="1"/>
      <c r="L69" s="1" t="s">
        <v>7</v>
      </c>
      <c r="M69" s="1">
        <v>2</v>
      </c>
    </row>
    <row r="70" spans="5:13" ht="13.5">
      <c r="E70" s="1"/>
      <c r="F70" s="1"/>
      <c r="G70" s="1"/>
      <c r="H70" s="1"/>
      <c r="I70" s="1"/>
      <c r="J70" s="1"/>
      <c r="K70" s="1"/>
      <c r="L70" s="1" t="s">
        <v>8</v>
      </c>
      <c r="M70" s="1">
        <v>1</v>
      </c>
    </row>
    <row r="72" spans="5:13" ht="13.5">
      <c r="E72" s="1" t="s">
        <v>23</v>
      </c>
      <c r="F72" s="1" t="s">
        <v>1</v>
      </c>
      <c r="G72" s="1">
        <f>7+8</f>
        <v>15</v>
      </c>
      <c r="H72" s="1" t="s">
        <v>33</v>
      </c>
      <c r="I72" s="2">
        <f>G72/G73</f>
        <v>3</v>
      </c>
      <c r="J72" s="2" t="s">
        <v>29</v>
      </c>
      <c r="K72" s="2">
        <f>G74/G73</f>
        <v>-18.2</v>
      </c>
      <c r="L72" s="1" t="s">
        <v>5</v>
      </c>
      <c r="M72" s="1">
        <v>0</v>
      </c>
    </row>
    <row r="73" spans="5:13" ht="13.5">
      <c r="E73" s="1"/>
      <c r="F73" s="1" t="s">
        <v>2</v>
      </c>
      <c r="G73" s="1">
        <f>2+3</f>
        <v>5</v>
      </c>
      <c r="H73" s="1"/>
      <c r="I73" s="2"/>
      <c r="J73" s="2"/>
      <c r="K73" s="2"/>
      <c r="L73" s="1" t="s">
        <v>6</v>
      </c>
      <c r="M73" s="1">
        <v>1</v>
      </c>
    </row>
    <row r="74" spans="5:13" ht="13.5">
      <c r="E74" s="1"/>
      <c r="F74" s="1" t="s">
        <v>3</v>
      </c>
      <c r="G74" s="1">
        <f>-57-34</f>
        <v>-91</v>
      </c>
      <c r="H74" s="1"/>
      <c r="I74" s="1"/>
      <c r="J74" s="1"/>
      <c r="K74" s="1"/>
      <c r="L74" s="1" t="s">
        <v>7</v>
      </c>
      <c r="M74" s="1">
        <v>3</v>
      </c>
    </row>
    <row r="75" spans="5:13" ht="13.5">
      <c r="E75" s="1"/>
      <c r="F75" s="1"/>
      <c r="G75" s="1"/>
      <c r="H75" s="1"/>
      <c r="I75" s="1"/>
      <c r="J75" s="1"/>
      <c r="K75" s="1"/>
      <c r="L75" s="1" t="s">
        <v>8</v>
      </c>
      <c r="M75" s="1">
        <v>1</v>
      </c>
    </row>
    <row r="77" spans="5:13" ht="13.5">
      <c r="E77" s="1" t="s">
        <v>49</v>
      </c>
      <c r="F77" s="1" t="s">
        <v>1</v>
      </c>
      <c r="G77" s="1">
        <v>10</v>
      </c>
      <c r="H77" s="1" t="s">
        <v>33</v>
      </c>
      <c r="I77" s="2">
        <f>G77/G78</f>
        <v>2.5</v>
      </c>
      <c r="J77" s="2" t="s">
        <v>29</v>
      </c>
      <c r="K77" s="2">
        <f>G79/G78</f>
        <v>-0.5</v>
      </c>
      <c r="L77" s="1" t="s">
        <v>5</v>
      </c>
      <c r="M77" s="1">
        <v>1</v>
      </c>
    </row>
    <row r="78" spans="5:13" ht="13.5">
      <c r="E78" s="1"/>
      <c r="F78" s="1" t="s">
        <v>2</v>
      </c>
      <c r="G78" s="1">
        <v>4</v>
      </c>
      <c r="H78" s="1"/>
      <c r="I78" s="2"/>
      <c r="J78" s="2"/>
      <c r="K78" s="2"/>
      <c r="L78" s="1" t="s">
        <v>6</v>
      </c>
      <c r="M78" s="1">
        <v>0</v>
      </c>
    </row>
    <row r="79" spans="5:13" ht="13.5">
      <c r="E79" s="1"/>
      <c r="F79" s="1" t="s">
        <v>3</v>
      </c>
      <c r="G79" s="1">
        <v>-2</v>
      </c>
      <c r="H79" s="1"/>
      <c r="I79" s="1"/>
      <c r="J79" s="1"/>
      <c r="K79" s="1"/>
      <c r="L79" s="1" t="s">
        <v>7</v>
      </c>
      <c r="M79" s="1">
        <v>3</v>
      </c>
    </row>
    <row r="80" spans="5:13" ht="13.5">
      <c r="E80" s="1"/>
      <c r="F80" s="1"/>
      <c r="G80" s="1"/>
      <c r="H80" s="1"/>
      <c r="I80" s="1"/>
      <c r="J80" s="1"/>
      <c r="K80" s="1"/>
      <c r="L80" s="1" t="s">
        <v>8</v>
      </c>
      <c r="M80" s="1">
        <v>0</v>
      </c>
    </row>
    <row r="82" spans="5:13" ht="13.5">
      <c r="E82" s="1" t="s">
        <v>50</v>
      </c>
      <c r="F82" s="1" t="s">
        <v>1</v>
      </c>
      <c r="G82" s="1">
        <v>4</v>
      </c>
      <c r="H82" s="1" t="s">
        <v>33</v>
      </c>
      <c r="I82" s="2">
        <f>G82/G83</f>
        <v>1.3333333333333333</v>
      </c>
      <c r="J82" s="2" t="s">
        <v>29</v>
      </c>
      <c r="K82" s="2">
        <f>G84/G83</f>
        <v>34</v>
      </c>
      <c r="L82" s="1" t="s">
        <v>5</v>
      </c>
      <c r="M82" s="1">
        <v>0</v>
      </c>
    </row>
    <row r="83" spans="5:13" ht="13.5">
      <c r="E83" s="1"/>
      <c r="F83" s="1" t="s">
        <v>2</v>
      </c>
      <c r="G83" s="1">
        <v>3</v>
      </c>
      <c r="H83" s="1"/>
      <c r="I83" s="2"/>
      <c r="J83" s="2"/>
      <c r="K83" s="2"/>
      <c r="L83" s="1" t="s">
        <v>6</v>
      </c>
      <c r="M83" s="1">
        <v>0</v>
      </c>
    </row>
    <row r="84" spans="5:13" ht="13.5">
      <c r="E84" s="1"/>
      <c r="F84" s="1" t="s">
        <v>3</v>
      </c>
      <c r="G84" s="1">
        <v>102</v>
      </c>
      <c r="H84" s="1"/>
      <c r="I84" s="1"/>
      <c r="J84" s="1"/>
      <c r="K84" s="1"/>
      <c r="L84" s="1" t="s">
        <v>7</v>
      </c>
      <c r="M84" s="1">
        <v>1</v>
      </c>
    </row>
    <row r="85" spans="5:13" ht="13.5">
      <c r="E85" s="1"/>
      <c r="F85" s="1"/>
      <c r="G85" s="1"/>
      <c r="H85" s="1"/>
      <c r="I85" s="1"/>
      <c r="J85" s="1"/>
      <c r="K85" s="1"/>
      <c r="L85" s="1" t="s">
        <v>8</v>
      </c>
      <c r="M85" s="1">
        <v>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63">
      <selection activeCell="G89" sqref="G89"/>
    </sheetView>
  </sheetViews>
  <sheetFormatPr defaultColWidth="9.00390625" defaultRowHeight="13.5"/>
  <cols>
    <col min="1" max="1" width="5.625" style="0" customWidth="1"/>
    <col min="4" max="4" width="5.625" style="0" customWidth="1"/>
    <col min="6" max="6" width="3.75390625" style="0" customWidth="1"/>
    <col min="8" max="8" width="5.50390625" style="0" customWidth="1"/>
    <col min="10" max="10" width="5.125" style="0" customWidth="1"/>
    <col min="12" max="12" width="6.125" style="0" customWidth="1"/>
    <col min="13" max="13" width="4.75390625" style="0" customWidth="1"/>
  </cols>
  <sheetData>
    <row r="1" ht="13.5">
      <c r="N1" t="s">
        <v>44</v>
      </c>
    </row>
    <row r="2" spans="1:16" ht="13.5">
      <c r="A2" s="6" t="s">
        <v>58</v>
      </c>
      <c r="E2" s="1" t="s">
        <v>0</v>
      </c>
      <c r="F2" s="1" t="s">
        <v>1</v>
      </c>
      <c r="G2" s="1">
        <f>M2+M3*2+M4*3+M5*4</f>
        <v>20</v>
      </c>
      <c r="H2" s="1" t="s">
        <v>31</v>
      </c>
      <c r="I2" s="2">
        <f>G2/G3</f>
        <v>2.857142857142857</v>
      </c>
      <c r="J2" s="2" t="s">
        <v>30</v>
      </c>
      <c r="K2" s="2">
        <f>G4/G3</f>
        <v>-12.714285714285714</v>
      </c>
      <c r="L2" s="1" t="s">
        <v>5</v>
      </c>
      <c r="M2" s="1">
        <v>0</v>
      </c>
      <c r="N2" t="str">
        <f>IF(C4&lt;&gt;"",INDEX(E:E,MATCH(C4,I:I,0)),"")</f>
        <v>きくち</v>
      </c>
      <c r="P2" s="3"/>
    </row>
    <row r="3" spans="1:16" ht="13.5">
      <c r="A3" t="s">
        <v>10</v>
      </c>
      <c r="E3" s="1"/>
      <c r="F3" s="1" t="s">
        <v>2</v>
      </c>
      <c r="G3" s="1">
        <f>M2+M3+M4+M5</f>
        <v>7</v>
      </c>
      <c r="H3" s="1"/>
      <c r="I3" s="1"/>
      <c r="J3" s="1"/>
      <c r="K3" s="1"/>
      <c r="L3" s="1" t="s">
        <v>6</v>
      </c>
      <c r="M3" s="1">
        <v>3</v>
      </c>
      <c r="P3" s="3"/>
    </row>
    <row r="4" spans="1:16" ht="13.5">
      <c r="A4" t="s">
        <v>24</v>
      </c>
      <c r="B4" s="3" t="str">
        <f>IF(C4&lt;&gt;"",INDEX(E:E,MATCH(C4,I:I,0)),"")</f>
        <v>きくち</v>
      </c>
      <c r="C4" s="4">
        <f>SMALL(I:I,ROW(A1))</f>
        <v>1.5</v>
      </c>
      <c r="D4" s="3" t="str">
        <f>ADDRESS(SUMPRODUCT((SMALL(K2:K75,1)=K2:K75)*ROW(K2:K75)),SUMPRODUCT((LARGE(K2:K75,1)=K2:K75)*COLUMN(K2:K75)),4)</f>
        <v>K37</v>
      </c>
      <c r="E4" s="1"/>
      <c r="F4" s="1" t="s">
        <v>3</v>
      </c>
      <c r="G4" s="1">
        <f>5-94</f>
        <v>-89</v>
      </c>
      <c r="H4" s="1"/>
      <c r="I4" s="1"/>
      <c r="J4" s="1"/>
      <c r="K4" s="1"/>
      <c r="L4" s="1" t="s">
        <v>7</v>
      </c>
      <c r="M4" s="1">
        <v>2</v>
      </c>
      <c r="P4" s="3"/>
    </row>
    <row r="5" spans="1:16" ht="13.5">
      <c r="A5" t="s">
        <v>25</v>
      </c>
      <c r="B5" s="3" t="str">
        <f>IF(C5&lt;&gt;"",INDEX(E:E,MATCH(C5,I:I,0)),"")</f>
        <v>もり</v>
      </c>
      <c r="C5" s="4">
        <f>SMALL(I:I,2)</f>
        <v>2.125</v>
      </c>
      <c r="E5" s="1"/>
      <c r="F5" s="1"/>
      <c r="G5" s="1"/>
      <c r="H5" s="1"/>
      <c r="I5" s="1"/>
      <c r="J5" s="1"/>
      <c r="K5" s="1"/>
      <c r="L5" s="1" t="s">
        <v>8</v>
      </c>
      <c r="M5" s="1">
        <v>2</v>
      </c>
      <c r="P5" s="3"/>
    </row>
    <row r="6" spans="1:16" ht="13.5">
      <c r="A6" t="s">
        <v>26</v>
      </c>
      <c r="B6" s="3" t="str">
        <f>IF(C6&lt;&gt;"",INDEX(E:E,MATCH(C6,I:I,0)),"")</f>
        <v>てつや</v>
      </c>
      <c r="C6" s="4">
        <f>SMALL(I:I,3)</f>
        <v>2.142857142857143</v>
      </c>
      <c r="P6" s="3"/>
    </row>
    <row r="7" spans="1:16" ht="13.5">
      <c r="A7" t="s">
        <v>27</v>
      </c>
      <c r="B7" s="3" t="str">
        <f>IF(C7&lt;&gt;"",INDEX(E:E,MATCH(C7,I:I,0)),"")</f>
        <v>むらかみ</v>
      </c>
      <c r="C7" s="4">
        <f>SMALL(I:I,4)</f>
        <v>2.2222222222222223</v>
      </c>
      <c r="E7" s="1" t="s">
        <v>9</v>
      </c>
      <c r="F7" s="1" t="s">
        <v>1</v>
      </c>
      <c r="G7" s="1">
        <f>M7+M8*2+M9*3+M10*4</f>
        <v>39</v>
      </c>
      <c r="H7" s="1" t="s">
        <v>32</v>
      </c>
      <c r="I7" s="2">
        <f>G7/G8</f>
        <v>3</v>
      </c>
      <c r="J7" s="2" t="s">
        <v>30</v>
      </c>
      <c r="K7" s="2">
        <f>G9/G8</f>
        <v>-17.615384615384617</v>
      </c>
      <c r="L7" s="1" t="s">
        <v>5</v>
      </c>
      <c r="M7" s="1">
        <v>2</v>
      </c>
      <c r="P7" s="3"/>
    </row>
    <row r="8" spans="1:16" ht="13.5">
      <c r="A8" t="s">
        <v>28</v>
      </c>
      <c r="B8" s="3" t="str">
        <f>IF(C8&lt;&gt;"",INDEX(E:E,MATCH(C8,I:I,0)),"")</f>
        <v>うが</v>
      </c>
      <c r="C8" s="4">
        <f>SMALL(I:I,5)</f>
        <v>2.25</v>
      </c>
      <c r="E8" s="1"/>
      <c r="F8" s="1" t="s">
        <v>2</v>
      </c>
      <c r="G8" s="1">
        <f>M7+M8+M9+M10</f>
        <v>13</v>
      </c>
      <c r="H8" s="1"/>
      <c r="I8" s="1"/>
      <c r="J8" s="1"/>
      <c r="K8" s="1"/>
      <c r="L8" s="1" t="s">
        <v>6</v>
      </c>
      <c r="M8" s="1">
        <v>1</v>
      </c>
      <c r="P8" s="3"/>
    </row>
    <row r="9" spans="1:16" ht="13.5">
      <c r="A9" t="s">
        <v>34</v>
      </c>
      <c r="B9" s="3" t="str">
        <f>IF(C9&lt;&gt;"",INDEX(E:E,MATCH(C9,I:I,0)),"")</f>
        <v>ひらた</v>
      </c>
      <c r="C9" s="4">
        <f>SMALL(I:I,6)</f>
        <v>2.2857142857142856</v>
      </c>
      <c r="E9" s="1"/>
      <c r="F9" s="1" t="s">
        <v>3</v>
      </c>
      <c r="G9" s="1">
        <f>-59-12+47+51-69-43-144</f>
        <v>-229</v>
      </c>
      <c r="H9" s="1"/>
      <c r="I9" s="1"/>
      <c r="J9" s="1"/>
      <c r="K9" s="1"/>
      <c r="L9" s="1" t="s">
        <v>7</v>
      </c>
      <c r="M9" s="1">
        <v>5</v>
      </c>
      <c r="N9">
        <f>MATCH(C4,I:I,0)</f>
        <v>67</v>
      </c>
      <c r="P9" s="3"/>
    </row>
    <row r="10" spans="1:16" ht="13.5">
      <c r="A10" t="s">
        <v>35</v>
      </c>
      <c r="B10" s="3" t="str">
        <f>IF(C10&lt;&gt;"",INDEX(E:E,MATCH(C10,I:I,0)),"")</f>
        <v>はんざわ</v>
      </c>
      <c r="C10" s="4">
        <f>SMALL(I:I,7)</f>
        <v>2.3125</v>
      </c>
      <c r="E10" s="1"/>
      <c r="F10" s="1"/>
      <c r="G10" s="1"/>
      <c r="H10" s="1"/>
      <c r="I10" s="1"/>
      <c r="J10" s="1"/>
      <c r="K10" s="1"/>
      <c r="L10" s="1" t="s">
        <v>8</v>
      </c>
      <c r="M10" s="1">
        <v>5</v>
      </c>
      <c r="P10" s="3"/>
    </row>
    <row r="11" spans="1:16" ht="13.5">
      <c r="A11" t="s">
        <v>36</v>
      </c>
      <c r="B11" s="3" t="str">
        <f>IF(C11&lt;&gt;"",INDEX(E:E,MATCH(C11,I:I,0)),"")</f>
        <v>かみお</v>
      </c>
      <c r="C11" s="4">
        <f>SMALL(I:I,8)</f>
        <v>2.3333333333333335</v>
      </c>
      <c r="N11">
        <f ca="1">INDIRECT(CELL("address",K2:K75))</f>
        <v>-12.714285714285714</v>
      </c>
      <c r="P11" s="3"/>
    </row>
    <row r="12" spans="1:16" ht="13.5">
      <c r="A12" t="s">
        <v>37</v>
      </c>
      <c r="B12" s="3" t="str">
        <f>IF(C12&lt;&gt;"",INDEX(E:E,MATCH(C12,I:I,0)),"")</f>
        <v>まさしげ</v>
      </c>
      <c r="C12" s="4">
        <f>SMALL(I:I,9)</f>
        <v>2.5</v>
      </c>
      <c r="E12" s="1" t="s">
        <v>54</v>
      </c>
      <c r="F12" s="1" t="s">
        <v>1</v>
      </c>
      <c r="G12" s="1">
        <f>M12+M13*2+M14*3+M15*4</f>
        <v>37</v>
      </c>
      <c r="H12" s="1" t="s">
        <v>32</v>
      </c>
      <c r="I12" s="2">
        <f>G12/G13</f>
        <v>2.3125</v>
      </c>
      <c r="J12" s="2" t="s">
        <v>29</v>
      </c>
      <c r="K12" s="2">
        <f>G14/G13</f>
        <v>7.375</v>
      </c>
      <c r="L12" s="1" t="s">
        <v>5</v>
      </c>
      <c r="M12" s="1">
        <v>5</v>
      </c>
      <c r="N12">
        <v>2</v>
      </c>
      <c r="P12" s="3"/>
    </row>
    <row r="13" spans="1:16" ht="13.5">
      <c r="A13" t="s">
        <v>38</v>
      </c>
      <c r="B13" s="3" t="str">
        <f>IF(C13&lt;&gt;"",INDEX(E:E,MATCH(C13,I:I,0)),"")</f>
        <v>ふくなが</v>
      </c>
      <c r="C13" s="4">
        <f>SMALL(I:I,10)</f>
        <v>2.642857142857143</v>
      </c>
      <c r="E13" s="1"/>
      <c r="F13" s="1" t="s">
        <v>2</v>
      </c>
      <c r="G13" s="1">
        <f>M12+M13+M14+M15</f>
        <v>16</v>
      </c>
      <c r="H13" s="1"/>
      <c r="I13" s="2"/>
      <c r="J13" s="2"/>
      <c r="K13" s="2"/>
      <c r="L13" s="1" t="s">
        <v>6</v>
      </c>
      <c r="M13" s="1">
        <v>4</v>
      </c>
      <c r="N13">
        <v>1</v>
      </c>
      <c r="P13" s="3"/>
    </row>
    <row r="14" spans="1:16" ht="13.5">
      <c r="A14" t="s">
        <v>39</v>
      </c>
      <c r="B14" s="3" t="str">
        <f>IF(C14&lt;&gt;"",INDEX(E:E,MATCH(C14,I:I,0)),"")</f>
        <v>みやざき</v>
      </c>
      <c r="C14" s="4">
        <f>SMALL(I:I,11)</f>
        <v>2.7142857142857144</v>
      </c>
      <c r="E14" s="1"/>
      <c r="F14" s="1" t="s">
        <v>3</v>
      </c>
      <c r="G14" s="1">
        <f>-79+70-20+78-41+69+41</f>
        <v>118</v>
      </c>
      <c r="H14" s="1"/>
      <c r="I14" s="1"/>
      <c r="J14" s="1"/>
      <c r="K14" s="1"/>
      <c r="L14" s="1" t="s">
        <v>7</v>
      </c>
      <c r="M14" s="1">
        <v>4</v>
      </c>
      <c r="N14">
        <v>2</v>
      </c>
      <c r="P14" s="3"/>
    </row>
    <row r="15" spans="1:16" ht="13.5">
      <c r="A15" t="s">
        <v>40</v>
      </c>
      <c r="B15" s="3" t="str">
        <f>IF(C15&lt;&gt;"",INDEX(E:E,MATCH(C15,I:I,0)),"")</f>
        <v>ごとう</v>
      </c>
      <c r="C15" s="4">
        <f>SMALL(I:I,12)</f>
        <v>2.857142857142857</v>
      </c>
      <c r="E15" s="1"/>
      <c r="F15" s="1"/>
      <c r="G15" s="1"/>
      <c r="H15" s="1"/>
      <c r="I15" s="1"/>
      <c r="J15" s="1"/>
      <c r="K15" s="1"/>
      <c r="L15" s="1" t="s">
        <v>8</v>
      </c>
      <c r="M15" s="1">
        <v>3</v>
      </c>
      <c r="N15">
        <v>1</v>
      </c>
      <c r="P15" s="3"/>
    </row>
    <row r="16" spans="1:16" ht="13.5">
      <c r="A16" t="s">
        <v>41</v>
      </c>
      <c r="B16" s="3" t="str">
        <f>IF(C16&lt;&gt;"",INDEX(E:E,MATCH(C16,I:I,0)),"")</f>
        <v>ごとう</v>
      </c>
      <c r="C16" s="4">
        <f>SMALL(I:I,13)</f>
        <v>2.857142857142857</v>
      </c>
      <c r="P16" s="3"/>
    </row>
    <row r="17" spans="1:16" ht="13.5">
      <c r="A17" t="s">
        <v>42</v>
      </c>
      <c r="B17" s="3" t="str">
        <f>IF(C17&lt;&gt;"",INDEX(E:E,MATCH(C17,I:I,0)),"")</f>
        <v>おりま</v>
      </c>
      <c r="C17" s="4">
        <f>SMALL(I:I,14)</f>
        <v>3</v>
      </c>
      <c r="E17" s="1" t="s">
        <v>12</v>
      </c>
      <c r="F17" s="1" t="s">
        <v>1</v>
      </c>
      <c r="G17" s="1">
        <f>M17+M18*2+M19*3+M20*4</f>
        <v>35</v>
      </c>
      <c r="H17" s="1" t="s">
        <v>32</v>
      </c>
      <c r="I17" s="2">
        <f>G17/G18</f>
        <v>2.3333333333333335</v>
      </c>
      <c r="J17" s="2" t="s">
        <v>29</v>
      </c>
      <c r="K17" s="2">
        <f>G19/G18</f>
        <v>5</v>
      </c>
      <c r="L17" s="1" t="s">
        <v>5</v>
      </c>
      <c r="M17" s="1">
        <v>3</v>
      </c>
      <c r="P17" s="3"/>
    </row>
    <row r="18" spans="1:13" ht="13.5">
      <c r="A18" t="s">
        <v>43</v>
      </c>
      <c r="B18" s="3" t="str">
        <f>IF(C18&lt;&gt;"",INDEX(E:E,MATCH(C18,I:I,0)),"")</f>
        <v>おりま</v>
      </c>
      <c r="C18" s="4">
        <f>SMALL(I:I,15)</f>
        <v>3</v>
      </c>
      <c r="E18" s="1"/>
      <c r="F18" s="1" t="s">
        <v>2</v>
      </c>
      <c r="G18" s="1">
        <f>M17+M18+M19+M20</f>
        <v>15</v>
      </c>
      <c r="H18" s="1"/>
      <c r="I18" s="2"/>
      <c r="J18" s="2"/>
      <c r="K18" s="2"/>
      <c r="L18" s="1" t="s">
        <v>6</v>
      </c>
      <c r="M18" s="1">
        <v>7</v>
      </c>
    </row>
    <row r="19" spans="1:13" ht="13.5">
      <c r="A19" t="s">
        <v>46</v>
      </c>
      <c r="B19" s="3" t="str">
        <f>IF(C19&lt;&gt;"",INDEX(E:E,MATCH(C19,I:I,0)),"")</f>
        <v>むとう</v>
      </c>
      <c r="C19" s="4">
        <f>SMALL(I:I,16)</f>
        <v>4</v>
      </c>
      <c r="E19" s="1"/>
      <c r="F19" s="1" t="s">
        <v>3</v>
      </c>
      <c r="G19" s="1">
        <f>-45-36-38+89-36+13+72-9+65</f>
        <v>75</v>
      </c>
      <c r="H19" s="1"/>
      <c r="I19" s="1"/>
      <c r="J19" s="1"/>
      <c r="K19" s="1"/>
      <c r="L19" s="1" t="s">
        <v>7</v>
      </c>
      <c r="M19" s="1">
        <v>2</v>
      </c>
    </row>
    <row r="20" spans="1:13" ht="13.5">
      <c r="A20" t="s">
        <v>47</v>
      </c>
      <c r="B20" s="3" t="str">
        <f>IF(C20&lt;&gt;"",INDEX(E:E,MATCH(C20,I:I,0)),"")</f>
        <v>むとう</v>
      </c>
      <c r="C20" s="4">
        <f>SMALL(I:I,17)</f>
        <v>4</v>
      </c>
      <c r="E20" s="1"/>
      <c r="F20" s="1"/>
      <c r="G20" s="1"/>
      <c r="H20" s="1"/>
      <c r="I20" s="1"/>
      <c r="J20" s="1"/>
      <c r="K20" s="1"/>
      <c r="L20" s="1" t="s">
        <v>8</v>
      </c>
      <c r="M20" s="1">
        <v>3</v>
      </c>
    </row>
    <row r="21" spans="1:14" ht="13.5">
      <c r="A21" t="s">
        <v>48</v>
      </c>
      <c r="B21" s="3" t="str">
        <f>IF(C21&lt;&gt;"",INDEX(E:E,MATCH(C21,I:I,0)),"")</f>
        <v>むとう</v>
      </c>
      <c r="C21" s="4">
        <f>SMALL(I:I,18)</f>
        <v>4</v>
      </c>
      <c r="N21" t="s">
        <v>45</v>
      </c>
    </row>
    <row r="22" spans="2:14" ht="13.5">
      <c r="B22" s="3"/>
      <c r="C22" s="4"/>
      <c r="E22" s="1" t="s">
        <v>60</v>
      </c>
      <c r="F22" s="1" t="s">
        <v>1</v>
      </c>
      <c r="G22" s="1">
        <f>M22+M23*2+M24*3+M25*4</f>
        <v>51</v>
      </c>
      <c r="H22" s="1" t="s">
        <v>32</v>
      </c>
      <c r="I22" s="2">
        <f>G22/G23</f>
        <v>2.125</v>
      </c>
      <c r="J22" s="2" t="s">
        <v>29</v>
      </c>
      <c r="K22" s="2">
        <f>G24/G23</f>
        <v>17.541666666666668</v>
      </c>
      <c r="L22" s="1" t="s">
        <v>5</v>
      </c>
      <c r="M22" s="1">
        <v>10</v>
      </c>
      <c r="N22" t="str">
        <f ca="1">OFFSET(INDIRECT(CELL("address",K:K)),MATCH(C25,K:K,0)-1,-6)</f>
        <v>きくち</v>
      </c>
    </row>
    <row r="23" spans="5:13" ht="13.5">
      <c r="E23" s="1"/>
      <c r="F23" s="1" t="s">
        <v>2</v>
      </c>
      <c r="G23" s="1">
        <f>M22+M23+M24+M25</f>
        <v>24</v>
      </c>
      <c r="H23" s="1"/>
      <c r="I23" s="2"/>
      <c r="J23" s="2"/>
      <c r="K23" s="2"/>
      <c r="L23" s="1" t="s">
        <v>6</v>
      </c>
      <c r="M23" s="1">
        <v>5</v>
      </c>
    </row>
    <row r="24" spans="1:13" ht="13.5">
      <c r="A24" t="s">
        <v>4</v>
      </c>
      <c r="E24" s="1"/>
      <c r="F24" s="1" t="s">
        <v>3</v>
      </c>
      <c r="G24" s="1">
        <f>225+11+107+48+78-48</f>
        <v>421</v>
      </c>
      <c r="H24" s="1"/>
      <c r="I24" s="1"/>
      <c r="J24" s="1"/>
      <c r="K24" s="1"/>
      <c r="L24" s="1" t="s">
        <v>7</v>
      </c>
      <c r="M24" s="1">
        <v>5</v>
      </c>
    </row>
    <row r="25" spans="1:13" ht="13.5">
      <c r="A25" t="s">
        <v>24</v>
      </c>
      <c r="B25" t="str">
        <f>IF(C25&lt;&gt;"",INDEX(E:E,MATCH(C25,K:K,0)),"")</f>
        <v>きくち</v>
      </c>
      <c r="C25" s="3">
        <f>LARGE(K:K,1)</f>
        <v>33.5</v>
      </c>
      <c r="D25" t="str">
        <f>ADDRESS(SUMPRODUCT((LARGE(K4:K77,1)=K4:K77)*ROW(K4:K77)),SUMPRODUCT((LARGE(K4:K77,1)=K4:K77)*COLUMN(K4:K77)),4)</f>
        <v>K67</v>
      </c>
      <c r="E25" s="1"/>
      <c r="F25" s="1"/>
      <c r="G25" s="1"/>
      <c r="H25" s="1"/>
      <c r="I25" s="1"/>
      <c r="J25" s="1"/>
      <c r="K25" s="1"/>
      <c r="L25" s="1" t="s">
        <v>8</v>
      </c>
      <c r="M25" s="1">
        <v>4</v>
      </c>
    </row>
    <row r="26" spans="1:4" ht="13.5">
      <c r="A26" t="s">
        <v>25</v>
      </c>
      <c r="B26" t="str">
        <f>IF(C26&lt;&gt;"",INDEX(E:E,MATCH(C26,K:K,0)),"")</f>
        <v>もり</v>
      </c>
      <c r="C26" s="3">
        <f>LARGE(K:K,2)</f>
        <v>17.541666666666668</v>
      </c>
      <c r="D26" t="str">
        <f>ADDRESS(SUMPRODUCT((LARGE(K4:K77,2)=K4:K77)*ROW(K4:K77)),SUMPRODUCT((LARGE(K4:K77,2)=K4:K77)*COLUMN(K4:K77)),4)</f>
        <v>K22</v>
      </c>
    </row>
    <row r="27" spans="1:13" ht="13.5">
      <c r="A27" t="s">
        <v>26</v>
      </c>
      <c r="B27" t="str">
        <f>IF(C27&lt;&gt;"",INDEX(E:E,MATCH(C27,K:K,0)),"")</f>
        <v>てつや</v>
      </c>
      <c r="C27" s="3">
        <f>LARGE(K:K,3)</f>
        <v>10.857142857142858</v>
      </c>
      <c r="D27" t="str">
        <f>ADDRESS(SUMPRODUCT((LARGE(K4:K77,3)=K4:K77)*ROW(K4:K77)),SUMPRODUCT((LARGE(K4:K77,3)=K4:K77)*COLUMN(K4:K77)),4)</f>
        <v>K42</v>
      </c>
      <c r="E27" s="1" t="s">
        <v>61</v>
      </c>
      <c r="F27" s="1" t="s">
        <v>1</v>
      </c>
      <c r="G27" s="1">
        <f>M27+M28*2+M29*3+M30*4</f>
        <v>20</v>
      </c>
      <c r="H27" s="1" t="s">
        <v>32</v>
      </c>
      <c r="I27" s="2">
        <f>G27/G28</f>
        <v>2.2222222222222223</v>
      </c>
      <c r="J27" s="2" t="s">
        <v>29</v>
      </c>
      <c r="K27" s="2">
        <f>G29/G28</f>
        <v>8.777777777777779</v>
      </c>
      <c r="L27" s="1" t="s">
        <v>5</v>
      </c>
      <c r="M27" s="1">
        <v>3</v>
      </c>
    </row>
    <row r="28" spans="1:13" ht="13.5">
      <c r="A28" t="s">
        <v>27</v>
      </c>
      <c r="B28" t="str">
        <f>IF(C28&lt;&gt;"",INDEX(E:E,MATCH(C28,K:K,0)),"")</f>
        <v>うが</v>
      </c>
      <c r="C28" s="3">
        <f>LARGE(K:K,4)</f>
        <v>10</v>
      </c>
      <c r="D28" t="str">
        <f>ADDRESS(SUMPRODUCT((LARGE(K4:K77,4)=K4:K77)*ROW(K4:K77)),SUMPRODUCT((LARGE(K4:K77,4)=K4:K77)*COLUMN(K4:K77)),4)</f>
        <v>K27</v>
      </c>
      <c r="E28" s="1"/>
      <c r="F28" s="1" t="s">
        <v>2</v>
      </c>
      <c r="G28" s="1">
        <f>M27+M28+M29+M30</f>
        <v>9</v>
      </c>
      <c r="H28" s="1"/>
      <c r="I28" s="2"/>
      <c r="J28" s="2"/>
      <c r="K28" s="2"/>
      <c r="L28" s="1" t="s">
        <v>6</v>
      </c>
      <c r="M28" s="1">
        <v>2</v>
      </c>
    </row>
    <row r="29" spans="1:13" ht="13.5">
      <c r="A29" t="s">
        <v>28</v>
      </c>
      <c r="B29" t="str">
        <f>IF(C29&lt;&gt;"",INDEX(E:E,MATCH(C29,K:K,0)),"")</f>
        <v>むらかみ</v>
      </c>
      <c r="C29" s="3">
        <f>LARGE(K:K,5)</f>
        <v>8.777777777777779</v>
      </c>
      <c r="D29" t="str">
        <f>ADDRESS(SUMPRODUCT((LARGE(K4:K77,5)=K4:K77)*ROW(K4:K77)),SUMPRODUCT((LARGE(K4:K77,5)=K4:K77)*COLUMN(K4:K77)),4)</f>
        <v>K12</v>
      </c>
      <c r="E29" s="1"/>
      <c r="F29" s="1" t="s">
        <v>3</v>
      </c>
      <c r="G29" s="1">
        <f>53-16+44-58-9+65</f>
        <v>79</v>
      </c>
      <c r="H29" s="1"/>
      <c r="I29" s="1"/>
      <c r="J29" s="1"/>
      <c r="K29" s="1"/>
      <c r="L29" s="1" t="s">
        <v>7</v>
      </c>
      <c r="M29" s="1">
        <v>3</v>
      </c>
    </row>
    <row r="30" spans="1:13" ht="13.5">
      <c r="A30" t="s">
        <v>34</v>
      </c>
      <c r="B30" t="str">
        <f>IF(C30&lt;&gt;"",INDEX(E:E,MATCH(C30,K:K,0)),"")</f>
        <v>はんざわ</v>
      </c>
      <c r="C30" s="3">
        <f>LARGE(K:K,6)</f>
        <v>7.375</v>
      </c>
      <c r="E30" s="1"/>
      <c r="F30" s="1"/>
      <c r="G30" s="1"/>
      <c r="H30" s="1"/>
      <c r="I30" s="1"/>
      <c r="J30" s="1"/>
      <c r="K30" s="1"/>
      <c r="L30" s="1" t="s">
        <v>8</v>
      </c>
      <c r="M30" s="1">
        <v>1</v>
      </c>
    </row>
    <row r="31" spans="1:3" ht="13.5">
      <c r="A31" t="s">
        <v>35</v>
      </c>
      <c r="B31" t="str">
        <f>IF(C31&lt;&gt;"",INDEX(E:E,MATCH(C31,K:K,0)),"")</f>
        <v>かみお</v>
      </c>
      <c r="C31" s="5">
        <f>LARGE(K:K,7)</f>
        <v>5</v>
      </c>
    </row>
    <row r="32" spans="1:13" ht="13.5">
      <c r="A32" t="s">
        <v>36</v>
      </c>
      <c r="B32" t="str">
        <f>IF(C32&lt;&gt;"",INDEX(E:E,MATCH(C32,K:K,0)),"")</f>
        <v>ひらた</v>
      </c>
      <c r="C32" s="5">
        <f>LARGE(K:K,8)</f>
        <v>2.5714285714285716</v>
      </c>
      <c r="E32" s="1" t="s">
        <v>15</v>
      </c>
      <c r="F32" s="1" t="s">
        <v>1</v>
      </c>
      <c r="G32" s="1">
        <f>M32+M33*2+M34*3+M35*4</f>
        <v>48</v>
      </c>
      <c r="H32" s="1" t="s">
        <v>32</v>
      </c>
      <c r="I32" s="2">
        <f>G32/G33</f>
        <v>3</v>
      </c>
      <c r="J32" s="2" t="s">
        <v>29</v>
      </c>
      <c r="K32" s="2">
        <f>G34/G33</f>
        <v>-19.4375</v>
      </c>
      <c r="L32" s="1" t="s">
        <v>5</v>
      </c>
      <c r="M32" s="1">
        <v>1</v>
      </c>
    </row>
    <row r="33" spans="1:13" ht="13.5">
      <c r="A33" t="s">
        <v>37</v>
      </c>
      <c r="B33" t="str">
        <f>IF(C33&lt;&gt;"",INDEX(E:E,MATCH(C33,K:K,0)),"")</f>
        <v>まさしげ</v>
      </c>
      <c r="C33" s="5">
        <f>LARGE(K:K,9)</f>
        <v>-3</v>
      </c>
      <c r="E33" s="1"/>
      <c r="F33" s="1" t="s">
        <v>2</v>
      </c>
      <c r="G33" s="1">
        <f>M32+M33+M34+M35</f>
        <v>16</v>
      </c>
      <c r="H33" s="1"/>
      <c r="I33" s="2"/>
      <c r="J33" s="2"/>
      <c r="K33" s="2"/>
      <c r="L33" s="1" t="s">
        <v>6</v>
      </c>
      <c r="M33" s="1">
        <v>3</v>
      </c>
    </row>
    <row r="34" spans="1:13" ht="13.5">
      <c r="A34" t="s">
        <v>38</v>
      </c>
      <c r="B34" t="str">
        <f>IF(C34&lt;&gt;"",INDEX(E:E,MATCH(C34,K:K,0)),"")</f>
        <v>ふくなが</v>
      </c>
      <c r="C34" s="5">
        <f>LARGE(K:K,10)</f>
        <v>-4.071428571428571</v>
      </c>
      <c r="E34" s="1"/>
      <c r="F34" s="1" t="s">
        <v>3</v>
      </c>
      <c r="G34" s="1">
        <f>-25-68+9-30+4-37+15-147-32</f>
        <v>-311</v>
      </c>
      <c r="H34" s="1"/>
      <c r="I34" s="1"/>
      <c r="J34" s="1"/>
      <c r="K34" s="1"/>
      <c r="L34" s="1" t="s">
        <v>7</v>
      </c>
      <c r="M34" s="1">
        <v>7</v>
      </c>
    </row>
    <row r="35" spans="1:13" ht="13.5">
      <c r="A35" t="s">
        <v>39</v>
      </c>
      <c r="B35" t="str">
        <f>IF(C35&lt;&gt;"",INDEX(E:E,MATCH(C35,K:K,0)),"")</f>
        <v>まえだ</v>
      </c>
      <c r="C35" s="5">
        <f>LARGE(K:K,11)</f>
        <v>-9.5</v>
      </c>
      <c r="E35" s="1"/>
      <c r="F35" s="1"/>
      <c r="G35" s="1"/>
      <c r="H35" s="1"/>
      <c r="I35" s="1"/>
      <c r="J35" s="1"/>
      <c r="K35" s="1"/>
      <c r="L35" s="1" t="s">
        <v>8</v>
      </c>
      <c r="M35" s="1">
        <v>5</v>
      </c>
    </row>
    <row r="36" spans="1:3" ht="13.5">
      <c r="A36" t="s">
        <v>40</v>
      </c>
      <c r="B36" t="str">
        <f>IF(C36&lt;&gt;"",INDEX(E:E,MATCH(C36,K:K,0)),"")</f>
        <v>あらたま</v>
      </c>
      <c r="C36" s="5">
        <f>LARGE(K:K,12)</f>
        <v>-11.857142857142858</v>
      </c>
    </row>
    <row r="37" spans="1:13" ht="13.5">
      <c r="A37" t="s">
        <v>41</v>
      </c>
      <c r="B37" t="str">
        <f>IF(C37&lt;&gt;"",INDEX(E:E,MATCH(C37,K:K,0)),"")</f>
        <v>ごとう</v>
      </c>
      <c r="C37" s="5">
        <f>LARGE(K:K,13)</f>
        <v>-12.714285714285714</v>
      </c>
      <c r="E37" s="1" t="s">
        <v>55</v>
      </c>
      <c r="F37" s="1" t="s">
        <v>1</v>
      </c>
      <c r="G37" s="1">
        <f>M37+M38*2+M39*3+M40*4</f>
        <v>40</v>
      </c>
      <c r="H37" s="1" t="s">
        <v>32</v>
      </c>
      <c r="I37" s="2">
        <f>G37/G38</f>
        <v>4</v>
      </c>
      <c r="J37" s="2" t="s">
        <v>29</v>
      </c>
      <c r="K37" s="2">
        <f>G39/G38</f>
        <v>-99.9</v>
      </c>
      <c r="L37" s="1" t="s">
        <v>5</v>
      </c>
      <c r="M37" s="1"/>
    </row>
    <row r="38" spans="1:13" ht="13.5">
      <c r="A38" t="s">
        <v>42</v>
      </c>
      <c r="B38" t="str">
        <f>IF(C38&lt;&gt;"",INDEX(E:E,MATCH(C38,K:K,0)),"")</f>
        <v>みやざき</v>
      </c>
      <c r="C38" s="5">
        <f>LARGE(K:K,14)</f>
        <v>-16.428571428571427</v>
      </c>
      <c r="E38" s="1"/>
      <c r="F38" s="1" t="s">
        <v>2</v>
      </c>
      <c r="G38" s="1">
        <f>M37+M38+M39+M40</f>
        <v>10</v>
      </c>
      <c r="H38" s="1"/>
      <c r="I38" s="2"/>
      <c r="J38" s="2"/>
      <c r="K38" s="2"/>
      <c r="L38" s="1" t="s">
        <v>6</v>
      </c>
      <c r="M38" s="1"/>
    </row>
    <row r="39" spans="1:13" ht="13.5">
      <c r="A39" t="s">
        <v>43</v>
      </c>
      <c r="B39" t="str">
        <f>IF(C39&lt;&gt;"",INDEX(E:E,MATCH(C39,K:K,0)),"")</f>
        <v>おりま</v>
      </c>
      <c r="C39" s="5">
        <f>LARGE(K:K,15)</f>
        <v>-17.615384615384617</v>
      </c>
      <c r="E39" s="1"/>
      <c r="F39" s="1" t="s">
        <v>3</v>
      </c>
      <c r="G39" s="1">
        <v>-999</v>
      </c>
      <c r="H39" s="1"/>
      <c r="I39" s="1"/>
      <c r="J39" s="1"/>
      <c r="K39" s="1"/>
      <c r="L39" s="1" t="s">
        <v>7</v>
      </c>
      <c r="M39" s="1"/>
    </row>
    <row r="40" spans="1:13" ht="13.5">
      <c r="A40" t="s">
        <v>46</v>
      </c>
      <c r="B40" t="str">
        <f>IF(C40&lt;&gt;"",INDEX(E:E,MATCH(C40,K:K,0)),"")</f>
        <v>つるめ</v>
      </c>
      <c r="C40" s="5">
        <f>LARGE(K:K,16)</f>
        <v>-19.4375</v>
      </c>
      <c r="E40" s="1"/>
      <c r="F40" s="1"/>
      <c r="G40" s="1"/>
      <c r="H40" s="1"/>
      <c r="I40" s="1"/>
      <c r="J40" s="1"/>
      <c r="K40" s="1"/>
      <c r="L40" s="1" t="s">
        <v>8</v>
      </c>
      <c r="M40" s="1">
        <v>10</v>
      </c>
    </row>
    <row r="41" spans="1:3" ht="13.5">
      <c r="A41" t="s">
        <v>47</v>
      </c>
      <c r="B41" t="str">
        <f>IF(C41&lt;&gt;"",INDEX(E:E,MATCH(C41,K:K,0)),"")</f>
        <v>ちく</v>
      </c>
      <c r="C41" s="5">
        <f>LARGE(K:K,17)</f>
        <v>-40</v>
      </c>
    </row>
    <row r="42" spans="1:13" ht="13.5">
      <c r="A42" t="s">
        <v>48</v>
      </c>
      <c r="B42" t="str">
        <f>IF(C42&lt;&gt;"",INDEX(E:E,MATCH(C42,K:K,0)),"")</f>
        <v>むとう</v>
      </c>
      <c r="C42" s="5">
        <f>LARGE(K:K,18)</f>
        <v>-99.9</v>
      </c>
      <c r="E42" s="1" t="s">
        <v>17</v>
      </c>
      <c r="F42" s="1" t="s">
        <v>1</v>
      </c>
      <c r="G42" s="1">
        <f>M42+M43*2+M44*3+M45*4</f>
        <v>18</v>
      </c>
      <c r="H42" s="1" t="s">
        <v>32</v>
      </c>
      <c r="I42" s="2">
        <f>G42/G43</f>
        <v>2.25</v>
      </c>
      <c r="J42" s="2" t="s">
        <v>29</v>
      </c>
      <c r="K42" s="2">
        <f>G44/G43</f>
        <v>10</v>
      </c>
      <c r="L42" s="1" t="s">
        <v>5</v>
      </c>
      <c r="M42" s="1">
        <v>3</v>
      </c>
    </row>
    <row r="43" spans="3:13" ht="13.5">
      <c r="C43" s="5"/>
      <c r="E43" s="1"/>
      <c r="F43" s="1" t="s">
        <v>2</v>
      </c>
      <c r="G43" s="1">
        <f>M42+M43+M44+M45</f>
        <v>8</v>
      </c>
      <c r="H43" s="1"/>
      <c r="I43" s="2"/>
      <c r="J43" s="2"/>
      <c r="K43" s="2"/>
      <c r="L43" s="1" t="s">
        <v>6</v>
      </c>
      <c r="M43" s="1">
        <v>2</v>
      </c>
    </row>
    <row r="44" spans="5:13" ht="13.5">
      <c r="E44" s="1"/>
      <c r="F44" s="1" t="s">
        <v>3</v>
      </c>
      <c r="G44" s="1">
        <f>50-29+59</f>
        <v>80</v>
      </c>
      <c r="H44" s="1"/>
      <c r="I44" s="1"/>
      <c r="J44" s="1"/>
      <c r="K44" s="1"/>
      <c r="L44" s="1" t="s">
        <v>7</v>
      </c>
      <c r="M44" s="1">
        <v>1</v>
      </c>
    </row>
    <row r="45" spans="5:13" ht="13.5">
      <c r="E45" s="1"/>
      <c r="F45" s="1"/>
      <c r="G45" s="1"/>
      <c r="H45" s="1"/>
      <c r="I45" s="1"/>
      <c r="J45" s="1"/>
      <c r="K45" s="1"/>
      <c r="L45" s="1" t="s">
        <v>8</v>
      </c>
      <c r="M45" s="1">
        <v>2</v>
      </c>
    </row>
    <row r="47" spans="5:13" ht="13.5">
      <c r="E47" s="1" t="s">
        <v>56</v>
      </c>
      <c r="F47" s="1" t="s">
        <v>1</v>
      </c>
      <c r="G47" s="1">
        <f>M47+M48*2+M49*3+M50*4</f>
        <v>19</v>
      </c>
      <c r="H47" s="1" t="s">
        <v>32</v>
      </c>
      <c r="I47" s="2">
        <f>G47/G48</f>
        <v>2.7142857142857144</v>
      </c>
      <c r="J47" s="2" t="s">
        <v>29</v>
      </c>
      <c r="K47" s="2">
        <f>G49/G48</f>
        <v>-16.428571428571427</v>
      </c>
      <c r="L47" s="1" t="s">
        <v>5</v>
      </c>
      <c r="M47" s="1">
        <v>0</v>
      </c>
    </row>
    <row r="48" spans="5:13" ht="13.5">
      <c r="E48" s="1"/>
      <c r="F48" s="1" t="s">
        <v>2</v>
      </c>
      <c r="G48" s="1">
        <f>M47+M48+M49+M50</f>
        <v>7</v>
      </c>
      <c r="H48" s="1"/>
      <c r="I48" s="2"/>
      <c r="J48" s="2"/>
      <c r="K48" s="2"/>
      <c r="L48" s="1" t="s">
        <v>6</v>
      </c>
      <c r="M48" s="1">
        <v>3</v>
      </c>
    </row>
    <row r="49" spans="5:13" ht="13.5">
      <c r="E49" s="1"/>
      <c r="F49" s="1" t="s">
        <v>3</v>
      </c>
      <c r="G49" s="1">
        <f>-53-13-49</f>
        <v>-115</v>
      </c>
      <c r="H49" s="1"/>
      <c r="I49" s="1"/>
      <c r="J49" s="1"/>
      <c r="K49" s="1"/>
      <c r="L49" s="1" t="s">
        <v>7</v>
      </c>
      <c r="M49" s="1">
        <v>3</v>
      </c>
    </row>
    <row r="50" spans="5:13" ht="13.5">
      <c r="E50" s="1"/>
      <c r="F50" s="1"/>
      <c r="G50" s="1"/>
      <c r="H50" s="1"/>
      <c r="I50" s="1"/>
      <c r="J50" s="1"/>
      <c r="K50" s="1"/>
      <c r="L50" s="1" t="s">
        <v>8</v>
      </c>
      <c r="M50" s="1">
        <v>1</v>
      </c>
    </row>
    <row r="52" spans="5:13" ht="13.5">
      <c r="E52" s="1" t="s">
        <v>23</v>
      </c>
      <c r="F52" s="1" t="s">
        <v>1</v>
      </c>
      <c r="G52" s="1">
        <f>M52+M53*2+M54*3+M55*4</f>
        <v>37</v>
      </c>
      <c r="H52" s="1" t="s">
        <v>33</v>
      </c>
      <c r="I52" s="2">
        <f>G52/G53</f>
        <v>2.642857142857143</v>
      </c>
      <c r="J52" s="2" t="s">
        <v>29</v>
      </c>
      <c r="K52" s="2">
        <f>G54/G53</f>
        <v>-4.071428571428571</v>
      </c>
      <c r="L52" s="1" t="s">
        <v>5</v>
      </c>
      <c r="M52" s="1">
        <v>3</v>
      </c>
    </row>
    <row r="53" spans="5:13" ht="13.5">
      <c r="E53" s="1"/>
      <c r="F53" s="1" t="s">
        <v>2</v>
      </c>
      <c r="G53" s="1">
        <f>M52+M53+M54+M55</f>
        <v>14</v>
      </c>
      <c r="H53" s="1"/>
      <c r="I53" s="2"/>
      <c r="J53" s="2"/>
      <c r="K53" s="2"/>
      <c r="L53" s="1" t="s">
        <v>6</v>
      </c>
      <c r="M53" s="1">
        <v>4</v>
      </c>
    </row>
    <row r="54" spans="5:13" ht="13.5">
      <c r="E54" s="1"/>
      <c r="F54" s="1" t="s">
        <v>3</v>
      </c>
      <c r="G54" s="1">
        <f>55-43+16-85</f>
        <v>-57</v>
      </c>
      <c r="H54" s="1"/>
      <c r="I54" s="1"/>
      <c r="J54" s="1"/>
      <c r="K54" s="1"/>
      <c r="L54" s="1" t="s">
        <v>7</v>
      </c>
      <c r="M54" s="1">
        <v>2</v>
      </c>
    </row>
    <row r="55" spans="5:13" ht="13.5">
      <c r="E55" s="1"/>
      <c r="F55" s="1"/>
      <c r="G55" s="1"/>
      <c r="H55" s="1"/>
      <c r="I55" s="1"/>
      <c r="J55" s="1"/>
      <c r="K55" s="1"/>
      <c r="L55" s="1" t="s">
        <v>8</v>
      </c>
      <c r="M55" s="1">
        <v>5</v>
      </c>
    </row>
    <row r="57" spans="5:13" ht="13.5">
      <c r="E57" s="1" t="s">
        <v>62</v>
      </c>
      <c r="F57" s="1" t="s">
        <v>1</v>
      </c>
      <c r="G57" s="1">
        <f>M57+M58*2+M59*3+M60*4</f>
        <v>16</v>
      </c>
      <c r="H57" s="1" t="s">
        <v>33</v>
      </c>
      <c r="I57" s="2">
        <f>G57/G58</f>
        <v>2.2857142857142856</v>
      </c>
      <c r="J57" s="2" t="s">
        <v>29</v>
      </c>
      <c r="K57" s="2">
        <f>G59/G58</f>
        <v>2.5714285714285716</v>
      </c>
      <c r="L57" s="1" t="s">
        <v>5</v>
      </c>
      <c r="M57" s="1">
        <v>3</v>
      </c>
    </row>
    <row r="58" spans="5:13" ht="13.5">
      <c r="E58" s="1"/>
      <c r="F58" s="1" t="s">
        <v>2</v>
      </c>
      <c r="G58" s="1">
        <f>M57+M58+M59+M60</f>
        <v>7</v>
      </c>
      <c r="H58" s="1"/>
      <c r="I58" s="2"/>
      <c r="J58" s="2"/>
      <c r="K58" s="2"/>
      <c r="L58" s="1" t="s">
        <v>6</v>
      </c>
      <c r="M58" s="1">
        <v>1</v>
      </c>
    </row>
    <row r="59" spans="5:13" ht="13.5">
      <c r="E59" s="1"/>
      <c r="F59" s="1" t="s">
        <v>3</v>
      </c>
      <c r="G59" s="1">
        <f>-36+54</f>
        <v>18</v>
      </c>
      <c r="H59" s="1"/>
      <c r="I59" s="1"/>
      <c r="J59" s="1"/>
      <c r="K59" s="1"/>
      <c r="L59" s="1" t="s">
        <v>7</v>
      </c>
      <c r="M59" s="1">
        <v>1</v>
      </c>
    </row>
    <row r="60" spans="5:13" ht="13.5">
      <c r="E60" s="1"/>
      <c r="F60" s="1"/>
      <c r="G60" s="1"/>
      <c r="H60" s="1"/>
      <c r="I60" s="1"/>
      <c r="J60" s="1"/>
      <c r="K60" s="1"/>
      <c r="L60" s="1" t="s">
        <v>8</v>
      </c>
      <c r="M60" s="1">
        <v>2</v>
      </c>
    </row>
    <row r="62" spans="5:13" ht="13.5">
      <c r="E62" s="1" t="s">
        <v>63</v>
      </c>
      <c r="F62" s="1" t="s">
        <v>1</v>
      </c>
      <c r="G62" s="1">
        <f>M62+M63*2+M64*3+M65*4</f>
        <v>10</v>
      </c>
      <c r="H62" s="1" t="s">
        <v>33</v>
      </c>
      <c r="I62" s="2">
        <f>G62/G63</f>
        <v>2.5</v>
      </c>
      <c r="J62" s="2" t="s">
        <v>29</v>
      </c>
      <c r="K62" s="2">
        <f>G64/G63</f>
        <v>-3</v>
      </c>
      <c r="L62" s="1" t="s">
        <v>5</v>
      </c>
      <c r="M62" s="1">
        <v>0</v>
      </c>
    </row>
    <row r="63" spans="5:13" ht="13.5">
      <c r="E63" s="1"/>
      <c r="F63" s="1" t="s">
        <v>2</v>
      </c>
      <c r="G63" s="1">
        <f>M62+M63+M64+M65</f>
        <v>4</v>
      </c>
      <c r="H63" s="1"/>
      <c r="I63" s="2"/>
      <c r="J63" s="2"/>
      <c r="K63" s="2"/>
      <c r="L63" s="1" t="s">
        <v>6</v>
      </c>
      <c r="M63" s="1">
        <v>2</v>
      </c>
    </row>
    <row r="64" spans="5:13" ht="13.5">
      <c r="E64" s="1"/>
      <c r="F64" s="1" t="s">
        <v>3</v>
      </c>
      <c r="G64" s="1">
        <f>-44+32</f>
        <v>-12</v>
      </c>
      <c r="H64" s="1"/>
      <c r="I64" s="1"/>
      <c r="J64" s="1"/>
      <c r="K64" s="1"/>
      <c r="L64" s="1" t="s">
        <v>7</v>
      </c>
      <c r="M64" s="1">
        <v>2</v>
      </c>
    </row>
    <row r="65" spans="5:13" ht="13.5">
      <c r="E65" s="1"/>
      <c r="F65" s="1"/>
      <c r="G65" s="1"/>
      <c r="H65" s="1"/>
      <c r="I65" s="1"/>
      <c r="J65" s="1"/>
      <c r="K65" s="1"/>
      <c r="L65" s="1" t="s">
        <v>8</v>
      </c>
      <c r="M65" s="1">
        <v>0</v>
      </c>
    </row>
    <row r="67" spans="5:13" ht="13.5">
      <c r="E67" s="1" t="s">
        <v>64</v>
      </c>
      <c r="F67" s="1" t="s">
        <v>1</v>
      </c>
      <c r="G67" s="1">
        <f>M67+M68*2+M69*3+M70*4</f>
        <v>9</v>
      </c>
      <c r="H67" s="1" t="s">
        <v>33</v>
      </c>
      <c r="I67" s="2">
        <f>G67/G68</f>
        <v>1.5</v>
      </c>
      <c r="J67" s="2" t="s">
        <v>29</v>
      </c>
      <c r="K67" s="2">
        <f>G69/G68</f>
        <v>33.5</v>
      </c>
      <c r="L67" s="1" t="s">
        <v>5</v>
      </c>
      <c r="M67" s="1">
        <v>4</v>
      </c>
    </row>
    <row r="68" spans="5:13" ht="13.5">
      <c r="E68" s="1"/>
      <c r="F68" s="1" t="s">
        <v>2</v>
      </c>
      <c r="G68" s="1">
        <f>M67+M68+M69+M70</f>
        <v>6</v>
      </c>
      <c r="H68" s="1"/>
      <c r="I68" s="2"/>
      <c r="J68" s="2"/>
      <c r="K68" s="2"/>
      <c r="L68" s="1" t="s">
        <v>6</v>
      </c>
      <c r="M68" s="1">
        <v>1</v>
      </c>
    </row>
    <row r="69" spans="5:13" ht="13.5">
      <c r="E69" s="1"/>
      <c r="F69" s="1" t="s">
        <v>3</v>
      </c>
      <c r="G69" s="1">
        <f>15+53+160-27</f>
        <v>201</v>
      </c>
      <c r="H69" s="1"/>
      <c r="I69" s="1"/>
      <c r="J69" s="1"/>
      <c r="K69" s="1"/>
      <c r="L69" s="1" t="s">
        <v>7</v>
      </c>
      <c r="M69" s="1">
        <v>1</v>
      </c>
    </row>
    <row r="70" spans="5:13" ht="13.5">
      <c r="E70" s="1"/>
      <c r="F70" s="1"/>
      <c r="G70" s="1"/>
      <c r="H70" s="1"/>
      <c r="I70" s="1"/>
      <c r="J70" s="1"/>
      <c r="K70" s="1"/>
      <c r="L70" s="1" t="s">
        <v>8</v>
      </c>
      <c r="M70" s="1">
        <v>0</v>
      </c>
    </row>
    <row r="72" spans="5:13" ht="13.5">
      <c r="E72" s="1" t="s">
        <v>57</v>
      </c>
      <c r="F72" s="1" t="s">
        <v>1</v>
      </c>
      <c r="G72" s="1">
        <f>M72+M73*2+M74*3+M75*4</f>
        <v>4</v>
      </c>
      <c r="H72" s="1" t="s">
        <v>33</v>
      </c>
      <c r="I72" s="2">
        <f>G72/G73</f>
        <v>4</v>
      </c>
      <c r="J72" s="2" t="s">
        <v>29</v>
      </c>
      <c r="K72" s="2">
        <f>G74/G73</f>
        <v>-40</v>
      </c>
      <c r="L72" s="1" t="s">
        <v>5</v>
      </c>
      <c r="M72" s="1"/>
    </row>
    <row r="73" spans="5:13" ht="13.5">
      <c r="E73" s="1"/>
      <c r="F73" s="1" t="s">
        <v>2</v>
      </c>
      <c r="G73" s="1">
        <f>M72+M73+M74+M75</f>
        <v>1</v>
      </c>
      <c r="H73" s="1"/>
      <c r="I73" s="2"/>
      <c r="J73" s="2"/>
      <c r="K73" s="2"/>
      <c r="L73" s="1" t="s">
        <v>6</v>
      </c>
      <c r="M73" s="1"/>
    </row>
    <row r="74" spans="5:13" ht="13.5">
      <c r="E74" s="1"/>
      <c r="F74" s="1" t="s">
        <v>3</v>
      </c>
      <c r="G74" s="1">
        <v>-40</v>
      </c>
      <c r="H74" s="1"/>
      <c r="I74" s="1"/>
      <c r="J74" s="1"/>
      <c r="K74" s="1"/>
      <c r="L74" s="1" t="s">
        <v>7</v>
      </c>
      <c r="M74" s="1"/>
    </row>
    <row r="75" spans="5:13" ht="13.5">
      <c r="E75" s="1"/>
      <c r="F75" s="1"/>
      <c r="G75" s="1"/>
      <c r="H75" s="1"/>
      <c r="I75" s="1"/>
      <c r="J75" s="1"/>
      <c r="K75" s="1"/>
      <c r="L75" s="1" t="s">
        <v>8</v>
      </c>
      <c r="M75" s="1">
        <v>1</v>
      </c>
    </row>
    <row r="77" spans="5:13" ht="13.5">
      <c r="E77" s="1" t="s">
        <v>59</v>
      </c>
      <c r="F77" s="1" t="s">
        <v>1</v>
      </c>
      <c r="G77" s="1">
        <f>M77+M78*2+M79*3+M80*4</f>
        <v>20</v>
      </c>
      <c r="H77" s="1" t="s">
        <v>33</v>
      </c>
      <c r="I77" s="2">
        <f>G77/G78</f>
        <v>2.857142857142857</v>
      </c>
      <c r="J77" s="2" t="s">
        <v>29</v>
      </c>
      <c r="K77" s="2">
        <f>G79/G78</f>
        <v>-11.857142857142858</v>
      </c>
      <c r="L77" s="1" t="s">
        <v>5</v>
      </c>
      <c r="M77" s="1">
        <v>1</v>
      </c>
    </row>
    <row r="78" spans="5:13" ht="13.5">
      <c r="E78" s="1"/>
      <c r="F78" s="1" t="s">
        <v>2</v>
      </c>
      <c r="G78" s="1">
        <f>M77+M78+M79+M80</f>
        <v>7</v>
      </c>
      <c r="H78" s="1"/>
      <c r="I78" s="2"/>
      <c r="J78" s="2"/>
      <c r="K78" s="2"/>
      <c r="L78" s="1" t="s">
        <v>6</v>
      </c>
      <c r="M78" s="1">
        <v>2</v>
      </c>
    </row>
    <row r="79" spans="5:13" ht="13.5">
      <c r="E79" s="1"/>
      <c r="F79" s="1" t="s">
        <v>3</v>
      </c>
      <c r="G79" s="1">
        <f>-42+55-24+10-82</f>
        <v>-83</v>
      </c>
      <c r="H79" s="1"/>
      <c r="I79" s="1"/>
      <c r="J79" s="1"/>
      <c r="K79" s="1"/>
      <c r="L79" s="1" t="s">
        <v>7</v>
      </c>
      <c r="M79" s="1">
        <v>1</v>
      </c>
    </row>
    <row r="80" spans="5:13" ht="13.5">
      <c r="E80" s="1"/>
      <c r="F80" s="1"/>
      <c r="G80" s="1"/>
      <c r="H80" s="1"/>
      <c r="I80" s="1"/>
      <c r="J80" s="1"/>
      <c r="K80" s="1"/>
      <c r="L80" s="1" t="s">
        <v>8</v>
      </c>
      <c r="M80" s="1">
        <v>3</v>
      </c>
    </row>
    <row r="82" spans="5:13" ht="13.5">
      <c r="E82" s="1" t="s">
        <v>49</v>
      </c>
      <c r="F82" s="1" t="s">
        <v>1</v>
      </c>
      <c r="G82" s="1">
        <f>M82+M83*2+M84*3+M85*4</f>
        <v>15</v>
      </c>
      <c r="H82" s="1" t="s">
        <v>32</v>
      </c>
      <c r="I82" s="2">
        <f>G82/G83</f>
        <v>2.142857142857143</v>
      </c>
      <c r="J82" s="2" t="s">
        <v>29</v>
      </c>
      <c r="K82" s="2">
        <f>G84/G83</f>
        <v>10.857142857142858</v>
      </c>
      <c r="L82" s="1" t="s">
        <v>5</v>
      </c>
      <c r="M82" s="1">
        <v>3</v>
      </c>
    </row>
    <row r="83" spans="5:13" ht="13.5">
      <c r="E83" s="1"/>
      <c r="F83" s="1" t="s">
        <v>2</v>
      </c>
      <c r="G83" s="1">
        <f>M82+M83+M84+M85</f>
        <v>7</v>
      </c>
      <c r="H83" s="1"/>
      <c r="I83" s="2"/>
      <c r="J83" s="2"/>
      <c r="K83" s="2"/>
      <c r="L83" s="1" t="s">
        <v>6</v>
      </c>
      <c r="M83" s="1">
        <v>1</v>
      </c>
    </row>
    <row r="84" spans="5:13" ht="13.5">
      <c r="E84" s="1"/>
      <c r="F84" s="1" t="s">
        <v>3</v>
      </c>
      <c r="G84" s="1">
        <f>-14+37+53</f>
        <v>76</v>
      </c>
      <c r="H84" s="1"/>
      <c r="I84" s="1"/>
      <c r="J84" s="1"/>
      <c r="K84" s="1"/>
      <c r="L84" s="1" t="s">
        <v>7</v>
      </c>
      <c r="M84" s="1">
        <v>2</v>
      </c>
    </row>
    <row r="85" spans="5:13" ht="13.5">
      <c r="E85" s="1"/>
      <c r="F85" s="1"/>
      <c r="G85" s="1"/>
      <c r="H85" s="1"/>
      <c r="I85" s="1"/>
      <c r="J85" s="1"/>
      <c r="K85" s="1"/>
      <c r="L85" s="1" t="s">
        <v>8</v>
      </c>
      <c r="M85" s="1">
        <v>1</v>
      </c>
    </row>
    <row r="87" spans="5:13" ht="13.5">
      <c r="E87" s="1" t="s">
        <v>65</v>
      </c>
      <c r="F87" s="1" t="s">
        <v>1</v>
      </c>
      <c r="G87" s="1">
        <f>M87+M88*2+M89*3+M90*4</f>
        <v>16</v>
      </c>
      <c r="H87" s="1" t="s">
        <v>32</v>
      </c>
      <c r="I87" s="2">
        <f>G87/G88</f>
        <v>4</v>
      </c>
      <c r="J87" s="2" t="s">
        <v>29</v>
      </c>
      <c r="K87" s="2">
        <f>G89/G88</f>
        <v>-9.5</v>
      </c>
      <c r="L87" s="1" t="s">
        <v>5</v>
      </c>
      <c r="M87" s="1"/>
    </row>
    <row r="88" spans="5:13" ht="13.5">
      <c r="E88" s="1"/>
      <c r="F88" s="1" t="s">
        <v>2</v>
      </c>
      <c r="G88" s="1">
        <f>M87+M88+M89+M90</f>
        <v>4</v>
      </c>
      <c r="H88" s="1"/>
      <c r="I88" s="2"/>
      <c r="J88" s="2"/>
      <c r="K88" s="2"/>
      <c r="L88" s="1" t="s">
        <v>6</v>
      </c>
      <c r="M88" s="1"/>
    </row>
    <row r="89" spans="5:13" ht="13.5">
      <c r="E89" s="1"/>
      <c r="F89" s="1" t="s">
        <v>3</v>
      </c>
      <c r="G89" s="1">
        <v>-38</v>
      </c>
      <c r="H89" s="1"/>
      <c r="I89" s="1"/>
      <c r="J89" s="1"/>
      <c r="K89" s="1"/>
      <c r="L89" s="1" t="s">
        <v>7</v>
      </c>
      <c r="M89" s="1"/>
    </row>
    <row r="90" spans="5:13" ht="13.5">
      <c r="E90" s="1"/>
      <c r="F90" s="1"/>
      <c r="G90" s="1"/>
      <c r="H90" s="1"/>
      <c r="I90" s="1"/>
      <c r="J90" s="1"/>
      <c r="K90" s="1"/>
      <c r="L90" s="1" t="s">
        <v>8</v>
      </c>
      <c r="M90" s="1">
        <v>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04ki112</dc:creator>
  <cp:keywords/>
  <dc:description/>
  <cp:lastModifiedBy>KARAOKE</cp:lastModifiedBy>
  <dcterms:created xsi:type="dcterms:W3CDTF">2008-10-23T08:14:10Z</dcterms:created>
  <dcterms:modified xsi:type="dcterms:W3CDTF">2009-01-02T14:50:30Z</dcterms:modified>
  <cp:category/>
  <cp:version/>
  <cp:contentType/>
  <cp:contentStatus/>
</cp:coreProperties>
</file>